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aham\WEBSITE UPDATE\images\New Venturo\"/>
    </mc:Choice>
  </mc:AlternateContent>
  <xr:revisionPtr revIDLastSave="0" documentId="8_{35A3AE56-7AAB-4E10-A284-839B54240166}" xr6:coauthVersionLast="31" xr6:coauthVersionMax="31" xr10:uidLastSave="{00000000-0000-0000-0000-000000000000}"/>
  <bookViews>
    <workbookView xWindow="0" yWindow="0" windowWidth="21045" windowHeight="11910" activeTab="3" xr2:uid="{00000000-000D-0000-FFFF-FFFF00000000}"/>
  </bookViews>
  <sheets>
    <sheet name="Utility_Calculator" sheetId="7" r:id="rId1"/>
    <sheet name="Mine_Calculator" sheetId="6" r:id="rId2"/>
    <sheet name="Crop_Calculator" sheetId="4" r:id="rId3"/>
    <sheet name="Calculation" sheetId="1" r:id="rId4"/>
  </sheets>
  <definedNames>
    <definedName name="arealist">Calculation!$B$31:$B$35</definedName>
    <definedName name="croplist">Calculation!$D$4:$D$11</definedName>
    <definedName name="croplistarea">Calculation!$D$4:$AE$11</definedName>
    <definedName name="cusecs_to_litres_per_day">Calculation!$B$37</definedName>
    <definedName name="d_offset_co2_i">Calculation!$AC$19</definedName>
    <definedName name="d_offset_dol_i">Calculation!$Z$19</definedName>
    <definedName name="d_offset_litres_y_i">Calculation!$T$19</definedName>
    <definedName name="d_offset_myr_i">Calculation!$W$19</definedName>
    <definedName name="Delivery_head__m">Mine_Calculator!$B$2</definedName>
    <definedName name="Deliveryrate">Mine_Calculator!$B$3</definedName>
    <definedName name="DelRateList">Calculation!$B$23:$B$29</definedName>
    <definedName name="Diesel_Co2_per_litre__kg_l">Calculation!$B$11</definedName>
    <definedName name="Diesel_Cost____l">Calculation!$B$12</definedName>
    <definedName name="Diesel_Cost__Sen_l">Calculation!$B$9</definedName>
    <definedName name="Diesel_fuel_energy__J_l">Calculation!$B$7</definedName>
    <definedName name="Diesel_Pump_Efficiency">Calculation!$B$8</definedName>
    <definedName name="e_Delivery_head__m">Utility_Calculator!$B$2</definedName>
    <definedName name="e_DeliveryRate">Utility_Calculator!$B$3</definedName>
    <definedName name="e_offset_co2_i">Calculation!$AO$19</definedName>
    <definedName name="e_offset_dol_i">Calculation!$AL$19</definedName>
    <definedName name="e_offset_kwh_y_i">Calculation!$AF$19</definedName>
    <definedName name="Electric_pump_efficeincy">Calculation!$B$15</definedName>
    <definedName name="Electricity_cost____kWh">Calculation!$B$16</definedName>
    <definedName name="Electricity_energy_J_kWh">Calculation!$B$14</definedName>
    <definedName name="Electriciyt_Co2__kg_kwh">Calculation!$B$17</definedName>
    <definedName name="headlist">Calculation!$D$15:$D$17</definedName>
    <definedName name="headlistare">Calculation!$D$15:$AQ$17</definedName>
    <definedName name="offset_co2_m">Calculation!$AE$19</definedName>
    <definedName name="offset_co2_v">Calculation!$AD$19</definedName>
    <definedName name="offset_dol_m">Calculation!$AB$19</definedName>
    <definedName name="offset_dol_v">Calculation!$AA$19</definedName>
    <definedName name="offset_myr_m">Calculation!$Y$19</definedName>
    <definedName name="offset_myr_v">Calculation!$X$19</definedName>
    <definedName name="plantAreaList" comment="Each plant in the crop takes up a certain area">Calculation!$F$4:$F$11</definedName>
    <definedName name="Pump_head_m">Calculation!$B$3</definedName>
    <definedName name="pumpheadlist">Calculation!$B$5:$B$6</definedName>
    <definedName name="Ringit">Calculation!$B$10</definedName>
  </definedNames>
  <calcPr calcId="179017"/>
</workbook>
</file>

<file path=xl/calcChain.xml><?xml version="1.0" encoding="utf-8"?>
<calcChain xmlns="http://schemas.openxmlformats.org/spreadsheetml/2006/main">
  <c r="O16" i="1" l="1"/>
  <c r="R16" i="1" s="1"/>
  <c r="AF16" i="1" s="1"/>
  <c r="B5" i="7" s="1"/>
  <c r="O17" i="1"/>
  <c r="R17" i="1" s="1"/>
  <c r="AF17" i="1" s="1"/>
  <c r="O15" i="1"/>
  <c r="R15" i="1" s="1"/>
  <c r="AF15" i="1" s="1"/>
  <c r="N15" i="1"/>
  <c r="AF19" i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B38" i="1"/>
  <c r="L11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Q15" i="1" l="1"/>
  <c r="N16" i="1"/>
  <c r="Q16" i="1" s="1"/>
  <c r="N17" i="1"/>
  <c r="Q17" i="1" s="1"/>
  <c r="T16" i="1" l="1"/>
  <c r="W16" i="1" s="1"/>
  <c r="Z16" i="1" s="1"/>
  <c r="T15" i="1"/>
  <c r="AC15" i="1" s="1"/>
  <c r="T17" i="1"/>
  <c r="AC17" i="1" s="1"/>
  <c r="A6" i="1"/>
  <c r="A5" i="1"/>
  <c r="B3" i="1" l="1"/>
  <c r="W17" i="1"/>
  <c r="Z17" i="1" s="1"/>
  <c r="AC16" i="1"/>
  <c r="B5" i="6"/>
  <c r="AO16" i="1"/>
  <c r="AL16" i="1"/>
  <c r="W15" i="1"/>
  <c r="Z15" i="1" s="1"/>
  <c r="B6" i="6" s="1"/>
  <c r="AL17" i="1"/>
  <c r="AO17" i="1"/>
  <c r="AO15" i="1"/>
  <c r="AL15" i="1"/>
  <c r="B7" i="6"/>
  <c r="B6" i="7" l="1"/>
  <c r="B7" i="7"/>
  <c r="B2" i="1"/>
  <c r="J11" i="1"/>
  <c r="F11" i="1"/>
  <c r="M11" i="1" l="1"/>
  <c r="P11" i="1" s="1"/>
  <c r="K11" i="1"/>
  <c r="N11" i="1" s="1"/>
  <c r="R11" i="1"/>
  <c r="O11" i="1"/>
  <c r="S11" i="1"/>
  <c r="Q11" i="1" l="1"/>
  <c r="T11" i="1" s="1"/>
  <c r="V11" i="1"/>
  <c r="U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L10" i="1" l="1"/>
  <c r="M10" i="1"/>
  <c r="K10" i="1"/>
  <c r="L5" i="1"/>
  <c r="M5" i="1"/>
  <c r="K5" i="1"/>
  <c r="L6" i="1"/>
  <c r="M6" i="1"/>
  <c r="K6" i="1"/>
  <c r="L7" i="1"/>
  <c r="M7" i="1"/>
  <c r="K7" i="1"/>
  <c r="L8" i="1"/>
  <c r="M8" i="1"/>
  <c r="K8" i="1"/>
  <c r="Q8" i="1" s="1"/>
  <c r="L9" i="1"/>
  <c r="M9" i="1"/>
  <c r="K9" i="1"/>
  <c r="G4" i="1"/>
  <c r="M4" i="1" s="1"/>
  <c r="X11" i="1"/>
  <c r="AD11" i="1"/>
  <c r="W11" i="1"/>
  <c r="AC11" i="1"/>
  <c r="Y11" i="1"/>
  <c r="AE11" i="1"/>
  <c r="N8" i="1" l="1"/>
  <c r="L4" i="1"/>
  <c r="O4" i="1" s="1"/>
  <c r="K4" i="1"/>
  <c r="Q4" i="1" s="1"/>
  <c r="T4" i="1" s="1"/>
  <c r="Z11" i="1"/>
  <c r="AB11" i="1"/>
  <c r="AA11" i="1"/>
  <c r="T8" i="1"/>
  <c r="R7" i="1"/>
  <c r="O7" i="1"/>
  <c r="Q7" i="1"/>
  <c r="N7" i="1"/>
  <c r="Q10" i="1"/>
  <c r="N10" i="1"/>
  <c r="Q9" i="1"/>
  <c r="N9" i="1"/>
  <c r="R10" i="1"/>
  <c r="O10" i="1"/>
  <c r="Q5" i="1"/>
  <c r="N5" i="1"/>
  <c r="S8" i="1"/>
  <c r="P8" i="1"/>
  <c r="S9" i="1"/>
  <c r="P9" i="1"/>
  <c r="S6" i="1"/>
  <c r="P6" i="1"/>
  <c r="R8" i="1"/>
  <c r="O8" i="1"/>
  <c r="R6" i="1"/>
  <c r="O6" i="1"/>
  <c r="S5" i="1"/>
  <c r="P5" i="1"/>
  <c r="S10" i="1"/>
  <c r="P10" i="1"/>
  <c r="S4" i="1"/>
  <c r="V4" i="1" s="1"/>
  <c r="P4" i="1"/>
  <c r="S7" i="1"/>
  <c r="P7" i="1"/>
  <c r="Q6" i="1"/>
  <c r="N6" i="1"/>
  <c r="R5" i="1"/>
  <c r="O5" i="1"/>
  <c r="R9" i="1"/>
  <c r="O9" i="1"/>
  <c r="R4" i="1" l="1"/>
  <c r="U4" i="1" s="1"/>
  <c r="X4" i="1" s="1"/>
  <c r="AA4" i="1" s="1"/>
  <c r="C9" i="4" s="1"/>
  <c r="N4" i="1"/>
  <c r="C10" i="4"/>
  <c r="Y4" i="1"/>
  <c r="AE4" i="1"/>
  <c r="D8" i="4" s="1"/>
  <c r="W4" i="1"/>
  <c r="AC4" i="1"/>
  <c r="B8" i="4" s="1"/>
  <c r="AC8" i="1"/>
  <c r="W8" i="1"/>
  <c r="Z8" i="1" s="1"/>
  <c r="U9" i="1"/>
  <c r="U8" i="1"/>
  <c r="T10" i="1"/>
  <c r="U7" i="1"/>
  <c r="T6" i="1"/>
  <c r="V5" i="1"/>
  <c r="V9" i="1"/>
  <c r="V7" i="1"/>
  <c r="V6" i="1"/>
  <c r="T5" i="1"/>
  <c r="U5" i="1"/>
  <c r="V10" i="1"/>
  <c r="U6" i="1"/>
  <c r="V8" i="1"/>
  <c r="U10" i="1"/>
  <c r="T9" i="1"/>
  <c r="T7" i="1"/>
  <c r="AD4" i="1" l="1"/>
  <c r="C8" i="4" s="1"/>
  <c r="AB4" i="1"/>
  <c r="D9" i="4" s="1"/>
  <c r="D10" i="4"/>
  <c r="Z4" i="1"/>
  <c r="B9" i="4" s="1"/>
  <c r="B10" i="4"/>
  <c r="X8" i="1"/>
  <c r="AA8" i="1" s="1"/>
  <c r="AD8" i="1"/>
  <c r="W5" i="1"/>
  <c r="Z5" i="1" s="1"/>
  <c r="AC5" i="1"/>
  <c r="AD9" i="1"/>
  <c r="X9" i="1"/>
  <c r="AA9" i="1" s="1"/>
  <c r="Y8" i="1"/>
  <c r="AB8" i="1" s="1"/>
  <c r="AE8" i="1"/>
  <c r="AD6" i="1"/>
  <c r="X6" i="1"/>
  <c r="AA6" i="1" s="1"/>
  <c r="W6" i="1"/>
  <c r="Z6" i="1" s="1"/>
  <c r="AC6" i="1"/>
  <c r="Y7" i="1"/>
  <c r="AB7" i="1" s="1"/>
  <c r="AE7" i="1"/>
  <c r="X7" i="1"/>
  <c r="AA7" i="1" s="1"/>
  <c r="AD7" i="1"/>
  <c r="Y5" i="1"/>
  <c r="AB5" i="1" s="1"/>
  <c r="AE5" i="1"/>
  <c r="W7" i="1"/>
  <c r="Z7" i="1" s="1"/>
  <c r="AC7" i="1"/>
  <c r="AE6" i="1"/>
  <c r="Y6" i="1"/>
  <c r="AB6" i="1" s="1"/>
  <c r="AC9" i="1"/>
  <c r="W9" i="1"/>
  <c r="Z9" i="1" s="1"/>
  <c r="AE10" i="1"/>
  <c r="Y10" i="1"/>
  <c r="AB10" i="1" s="1"/>
  <c r="AD10" i="1"/>
  <c r="X10" i="1"/>
  <c r="AA10" i="1" s="1"/>
  <c r="AD5" i="1"/>
  <c r="X5" i="1"/>
  <c r="AA5" i="1" s="1"/>
  <c r="Y9" i="1"/>
  <c r="AB9" i="1" s="1"/>
  <c r="AE9" i="1"/>
  <c r="W10" i="1"/>
  <c r="Z10" i="1" s="1"/>
  <c r="A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Select the crop plant from list
</t>
        </r>
      </text>
    </comment>
    <comment ref="D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Select Crop Plant from this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Enter the total crop area in hectares
</t>
        </r>
      </text>
    </comment>
    <comment ref="D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Select the area of the crop from the 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Select a 'head' - the height the water has to be pumped in meters
</t>
        </r>
      </text>
    </comment>
    <comment ref="D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Select the pump head  - the height in meters the water is to be pumped.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<sst xmlns="http://schemas.openxmlformats.org/spreadsheetml/2006/main" count="156" uniqueCount="113">
  <si>
    <t>Banana</t>
  </si>
  <si>
    <t>Citrus</t>
  </si>
  <si>
    <t>Cocao</t>
  </si>
  <si>
    <t>Guava</t>
  </si>
  <si>
    <t>Mango</t>
  </si>
  <si>
    <t>Papaya</t>
  </si>
  <si>
    <t>Starfruit</t>
  </si>
  <si>
    <t xml:space="preserve">Crop </t>
  </si>
  <si>
    <t>m x m</t>
  </si>
  <si>
    <t>Area</t>
  </si>
  <si>
    <t>Plants/ha</t>
  </si>
  <si>
    <t>Initial</t>
  </si>
  <si>
    <t>Vegetative</t>
  </si>
  <si>
    <t>Mature</t>
  </si>
  <si>
    <t>Water requirements (l/plant/day)</t>
  </si>
  <si>
    <t>Water requirements (l/ha/day)</t>
  </si>
  <si>
    <r>
      <t>Water requirements (m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/ha/day)</t>
    </r>
  </si>
  <si>
    <t>Area(ha)</t>
  </si>
  <si>
    <t>Pump head(m)</t>
  </si>
  <si>
    <t>Diesel Cost (Sen/l)</t>
  </si>
  <si>
    <t>Ringit/$</t>
  </si>
  <si>
    <r>
      <t>Pump Deisel Costs ($US</t>
    </r>
    <r>
      <rPr>
        <sz val="11"/>
        <color theme="1"/>
        <rFont val="Calibri"/>
        <family val="2"/>
      </rPr>
      <t>/year</t>
    </r>
    <r>
      <rPr>
        <sz val="11"/>
        <color theme="1"/>
        <rFont val="Calibri"/>
        <family val="2"/>
        <scheme val="minor"/>
      </rPr>
      <t>)</t>
    </r>
  </si>
  <si>
    <t>Crop water requirements and diesel pumping costs</t>
  </si>
  <si>
    <r>
      <t>Water requirements (l</t>
    </r>
    <r>
      <rPr>
        <sz val="11"/>
        <color theme="1"/>
        <rFont val="Calibri"/>
        <family val="2"/>
      </rPr>
      <t>/</t>
    </r>
    <r>
      <rPr>
        <sz val="11"/>
        <color theme="1"/>
        <rFont val="Calibri"/>
        <family val="2"/>
        <scheme val="minor"/>
      </rPr>
      <t>day)</t>
    </r>
  </si>
  <si>
    <t>Plant area requirements</t>
  </si>
  <si>
    <r>
      <t>Pump Dieisel Costs (MYR</t>
    </r>
    <r>
      <rPr>
        <sz val="11"/>
        <color theme="1"/>
        <rFont val="Calibri"/>
        <family val="2"/>
      </rPr>
      <t>/year</t>
    </r>
    <r>
      <rPr>
        <sz val="11"/>
        <color theme="1"/>
        <rFont val="Calibri"/>
        <family val="2"/>
        <scheme val="minor"/>
      </rPr>
      <t>)</t>
    </r>
  </si>
  <si>
    <t>9 x 9 x 9</t>
  </si>
  <si>
    <t>3 x 1</t>
  </si>
  <si>
    <t>7 x 4</t>
  </si>
  <si>
    <t>3 x 3</t>
  </si>
  <si>
    <t>9 x 1</t>
  </si>
  <si>
    <t>6 x 6</t>
  </si>
  <si>
    <t>2.8 x 1.7</t>
  </si>
  <si>
    <t>Palm Oil</t>
  </si>
  <si>
    <t>Annual Diesel CO2 emission (kg/y)</t>
  </si>
  <si>
    <t>Diesel Pump Efficiency (%)</t>
  </si>
  <si>
    <r>
      <t>Pump Diesel fuel requirements (l</t>
    </r>
    <r>
      <rPr>
        <sz val="11"/>
        <color theme="1"/>
        <rFont val="Calibri"/>
        <family val="2"/>
      </rPr>
      <t>/</t>
    </r>
    <r>
      <rPr>
        <sz val="11"/>
        <color theme="1"/>
        <rFont val="Calibri"/>
        <family val="2"/>
        <scheme val="minor"/>
      </rPr>
      <t>year)</t>
    </r>
  </si>
  <si>
    <t>Diesel fuel energy (J/l)</t>
  </si>
  <si>
    <t>Crop plant</t>
  </si>
  <si>
    <r>
      <t>Crop watering - Diesel CO</t>
    </r>
    <r>
      <rPr>
        <b/>
        <vertAlign val="subscript"/>
        <sz val="26"/>
        <color theme="1"/>
        <rFont val="Calibri"/>
        <family val="2"/>
        <scheme val="minor"/>
      </rPr>
      <t xml:space="preserve">2 </t>
    </r>
    <r>
      <rPr>
        <b/>
        <sz val="26"/>
        <color theme="1"/>
        <rFont val="Calibri"/>
        <family val="2"/>
        <scheme val="minor"/>
      </rPr>
      <t>emissions</t>
    </r>
  </si>
  <si>
    <t>Diesel Co2 per litre (kg/l)</t>
  </si>
  <si>
    <t>Lowland 25 (m)</t>
  </si>
  <si>
    <t>Diesel Cost ($/l)</t>
  </si>
  <si>
    <r>
      <t>Delivery rate (cusecs or m</t>
    </r>
    <r>
      <rPr>
        <b/>
        <vertAlign val="superscript"/>
        <sz val="18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/s)</t>
    </r>
  </si>
  <si>
    <t>Annual diesel fuel consumption (l/y)</t>
  </si>
  <si>
    <t>Annual diesel cost ($/y)</t>
  </si>
  <si>
    <r>
      <t>Annual diesel 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emission (kg/y)</t>
    </r>
  </si>
  <si>
    <t>Crop area (ha)</t>
  </si>
  <si>
    <t xml:space="preserve"> Pump head </t>
  </si>
  <si>
    <t>Annual diesel cost (MYR/y)</t>
  </si>
  <si>
    <t>Crop status</t>
  </si>
  <si>
    <r>
      <t>Mine pumping diesel CO</t>
    </r>
    <r>
      <rPr>
        <b/>
        <vertAlign val="subscript"/>
        <sz val="26"/>
        <color theme="1"/>
        <rFont val="Calibri"/>
        <family val="2"/>
        <scheme val="minor"/>
      </rPr>
      <t>2</t>
    </r>
    <r>
      <rPr>
        <b/>
        <sz val="26"/>
        <color theme="1"/>
        <rFont val="Calibri"/>
        <family val="2"/>
        <scheme val="minor"/>
      </rPr>
      <t xml:space="preserve"> emissions</t>
    </r>
  </si>
  <si>
    <t>Head:</t>
  </si>
  <si>
    <t>Delivery rate (cusecs or m3/s)</t>
  </si>
  <si>
    <t>Area (ha)</t>
  </si>
  <si>
    <t>DelRateList</t>
  </si>
  <si>
    <t>arealist</t>
  </si>
  <si>
    <t>headlist</t>
  </si>
  <si>
    <t>offsets for VLOOKUP</t>
  </si>
  <si>
    <t>pumpheadlist</t>
  </si>
  <si>
    <t>cusecs to litres per day</t>
  </si>
  <si>
    <t>The pumpheadlist is pretty much set at having no more than two elements.  However the text description in column 1 and the value in column2 may be changed and the changes will be reflected in the front end.</t>
  </si>
  <si>
    <t>Notes on the lists, pumpheadlist,DelRateList, headlist and arealist:</t>
  </si>
  <si>
    <t>The other 2 lists, DelRateList and arealist, may be altered by inserting rows inside the list i.e not above or below the list. And the values can be changed to suit.</t>
  </si>
  <si>
    <t>The list labelled headlist may be extended only by inserting a blank row inside the list and copying the whole row above it into the new row. The values may be changed and the calculation willadjust accordingly.</t>
  </si>
  <si>
    <t>Delivery head (m)</t>
  </si>
  <si>
    <t>DIESEL_FUEL_ENERGY = 35,860,000</t>
  </si>
  <si>
    <t>DIESEL_PUMP_EFFICIENCY = 0.3</t>
  </si>
  <si>
    <t>DIESEL_COST_PER_LITRE = .62</t>
  </si>
  <si>
    <t>DIESEL_CO2_PER_LITRE = 2.6008</t>
  </si>
  <si>
    <t>For CropCalculator</t>
  </si>
  <si>
    <t>For MineCalculator</t>
  </si>
  <si>
    <t>pumpDieselFuel =( 365.25 * waterRequirements * PUMP_HEAD * 9.81) / (DIESEL_FUEL_ENERGY * DIESEL_PUMP_EFFIECIENCY) # litres per annum</t>
  </si>
  <si>
    <t>For each of the growth periods {Initial,Vegetative,Mature}</t>
  </si>
  <si>
    <t>D</t>
  </si>
  <si>
    <t>cusecs to litres per annum</t>
  </si>
  <si>
    <t xml:space="preserve">CUSECS_TO_LITRES_PER_DAY=86,400,000 </t>
  </si>
  <si>
    <t>dieselCost = pumpDieselFuel * DIESEL_COST_PER_LITRE # USD $ per annum</t>
  </si>
  <si>
    <t>dieselCO2 = pumpDieslFuel * DIESEL_CO2_PER_LITRE # kg/l per annum</t>
  </si>
  <si>
    <t>CUSECS_TO_LITRE_PER_DAY = 86,400,000</t>
  </si>
  <si>
    <t>waterRequirements = PLANTS_PER_HECTARE * WATER_REQUIREMENTS_PER_PLANT * CROP_AREA  # liters per annum</t>
  </si>
  <si>
    <t>For any  crop plant - user selected  from list</t>
  </si>
  <si>
    <t>WATER_REQUIREMENTS_PER_PLANT # per plant per day from lookup table headed "Water requirements (l/plant/day)" in the spreadsheet</t>
  </si>
  <si>
    <t>PLANTS_PER_HECTARE #  from lookup table headed "Plants/ha" in the spreadsheet</t>
  </si>
  <si>
    <t>Display pumpDieselFuel, dieselCost, dieselCO2</t>
  </si>
  <si>
    <r>
      <t>DELVERY_RATE # User Selected from list:- 'DelRateList'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</si>
  <si>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DELIVERY_HEAD # User Selected from list:- 'headlist' (m)</t>
  </si>
  <si>
    <t>PUMP_HEAD # User Selected from list:- headlist (m)</t>
  </si>
  <si>
    <t>PLANT_NAME # User Selected from list :- croplist</t>
  </si>
  <si>
    <t>CROP_AREA # ha - User Selected from list:- arealist (ha)</t>
  </si>
  <si>
    <t>Annual electricity consumption (kWh/y)</t>
  </si>
  <si>
    <t>Annual electricity  cost ($/y)</t>
  </si>
  <si>
    <r>
      <t>Annual electricity 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emission (kg/y)</t>
    </r>
  </si>
  <si>
    <t>For Utility Calculaor</t>
  </si>
  <si>
    <t>Electric pump efficeincy</t>
  </si>
  <si>
    <t>Electricity cost ($/kWh)</t>
  </si>
  <si>
    <t>Electricity energy J/kWh</t>
  </si>
  <si>
    <r>
      <t>Pump electricity requirements (kWh</t>
    </r>
    <r>
      <rPr>
        <sz val="11"/>
        <color theme="1"/>
        <rFont val="Calibri"/>
        <family val="2"/>
      </rPr>
      <t>/</t>
    </r>
    <r>
      <rPr>
        <sz val="11"/>
        <color theme="1"/>
        <rFont val="Calibri"/>
        <family val="2"/>
        <scheme val="minor"/>
      </rPr>
      <t>year)</t>
    </r>
  </si>
  <si>
    <r>
      <t>Pump Electricity  Costs (MYR</t>
    </r>
    <r>
      <rPr>
        <sz val="11"/>
        <color theme="1"/>
        <rFont val="Calibri"/>
        <family val="2"/>
      </rPr>
      <t>/year</t>
    </r>
    <r>
      <rPr>
        <sz val="11"/>
        <color theme="1"/>
        <rFont val="Calibri"/>
        <family val="2"/>
        <scheme val="minor"/>
      </rPr>
      <t>)</t>
    </r>
  </si>
  <si>
    <r>
      <t>PumpElectricty Costs ($US</t>
    </r>
    <r>
      <rPr>
        <sz val="11"/>
        <color theme="1"/>
        <rFont val="Calibri"/>
        <family val="2"/>
      </rPr>
      <t>/year</t>
    </r>
    <r>
      <rPr>
        <sz val="11"/>
        <color theme="1"/>
        <rFont val="Calibri"/>
        <family val="2"/>
        <scheme val="minor"/>
      </rPr>
      <t>)</t>
    </r>
  </si>
  <si>
    <t>Annual Electricity CO2 emission (kg/y)</t>
  </si>
  <si>
    <t>Electricity Co2 (kg/kwh)</t>
  </si>
  <si>
    <t>electricityCost = pumpElectricity * ELECTRICTY_COST_PER_KWH # USD $ per annum</t>
  </si>
  <si>
    <t>electricityCO2 = pumpElectricity* ELECTRICITY_CO2_PER_KWH # kg/l per annum</t>
  </si>
  <si>
    <t>ELECTRIC_PUMP_EFFICIENCY = 0.4</t>
  </si>
  <si>
    <t>ELECTRICITY_COST = 0.22</t>
  </si>
  <si>
    <t>ELECTRICITY_CO2 = 0.47</t>
  </si>
  <si>
    <t>ELECTRICITY_ENERGY = 3,600,000</t>
  </si>
  <si>
    <t>pumpDieselFuel = 365.25 * 9.81 * CUSECS_TO_LITRE_PER_DAY*DELIVERY_HEAD* DELIVERY_RATE/( DIESEL_FUEL_ENERGY * DIESEL_PUMP_EFFICIENCY) # litres per annum</t>
  </si>
  <si>
    <t>pumpElectricity = 365.25 * 9.81 * CUSECS_TO_LITRE_PER_DAY * DELIVERY_HEAD * DELIVERY_RATE/ (ELECTRICITY_ENERGY * ELECTRIC_PUMP_EFFICIENCY) # kWh per annum</t>
  </si>
  <si>
    <t>Display pumpElectricity, electricityCost, electricityCO2</t>
  </si>
  <si>
    <t>E</t>
  </si>
  <si>
    <r>
      <t xml:space="preserve"> Utility pumping electricity CO</t>
    </r>
    <r>
      <rPr>
        <b/>
        <vertAlign val="subscript"/>
        <sz val="24"/>
        <color theme="1"/>
        <rFont val="Calibri"/>
        <family val="2"/>
        <scheme val="minor"/>
      </rPr>
      <t>2</t>
    </r>
    <r>
      <rPr>
        <b/>
        <sz val="24"/>
        <color theme="1"/>
        <rFont val="Calibri"/>
        <family val="2"/>
        <scheme val="minor"/>
      </rPr>
      <t xml:space="preserve"> emissions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</si>
</sst>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"/>
    <numFmt numFmtId="165" formatCode="0.0"/>
    <numFmt numFmtId="166" formatCode="[$MYR]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vertAlign val="subscript"/>
      <sz val="2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vertAlign val="subscript"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gradientFill degree="90">
        <stop position="0">
          <color theme="0"/>
        </stop>
        <stop position="0.5">
          <color rgb="FF92D05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4000061037018952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gradientFill degree="90">
        <stop position="0">
          <color theme="0"/>
        </stop>
        <stop position="1">
          <color theme="9" tint="-0.49803155613879818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5" xfId="0" applyNumberFormat="1" applyBorder="1"/>
    <xf numFmtId="3" fontId="0" fillId="0" borderId="0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4" xfId="0" applyNumberFormat="1" applyBorder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165" fontId="0" fillId="0" borderId="0" xfId="0" applyNumberFormat="1" applyBorder="1"/>
    <xf numFmtId="165" fontId="0" fillId="0" borderId="8" xfId="0" applyNumberFormat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1" xfId="0" applyBorder="1"/>
    <xf numFmtId="0" fontId="6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0" fontId="0" fillId="4" borderId="0" xfId="0" applyNumberFormat="1" applyFill="1" applyProtection="1"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0" fillId="4" borderId="0" xfId="0" applyFill="1" applyBorder="1" applyProtection="1">
      <protection locked="0"/>
    </xf>
    <xf numFmtId="0" fontId="0" fillId="0" borderId="12" xfId="0" applyFill="1" applyBorder="1"/>
    <xf numFmtId="0" fontId="0" fillId="0" borderId="3" xfId="0" applyFill="1" applyBorder="1"/>
    <xf numFmtId="0" fontId="0" fillId="4" borderId="8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10" fontId="0" fillId="0" borderId="0" xfId="0" applyNumberFormat="1" applyFill="1" applyBorder="1" applyProtection="1">
      <protection locked="0"/>
    </xf>
    <xf numFmtId="0" fontId="6" fillId="0" borderId="0" xfId="0" applyFont="1"/>
    <xf numFmtId="0" fontId="7" fillId="0" borderId="0" xfId="1" applyBorder="1"/>
    <xf numFmtId="0" fontId="10" fillId="0" borderId="0" xfId="0" applyFont="1"/>
    <xf numFmtId="0" fontId="6" fillId="0" borderId="0" xfId="0" applyFont="1" applyAlignment="1">
      <alignment horizontal="right"/>
    </xf>
    <xf numFmtId="0" fontId="6" fillId="7" borderId="1" xfId="0" applyFont="1" applyFill="1" applyBorder="1" applyAlignment="1">
      <alignment horizontal="center"/>
    </xf>
    <xf numFmtId="3" fontId="6" fillId="8" borderId="0" xfId="0" quotePrefix="1" applyNumberFormat="1" applyFont="1" applyFill="1" applyAlignment="1">
      <alignment horizontal="center"/>
    </xf>
    <xf numFmtId="164" fontId="6" fillId="8" borderId="0" xfId="0" quotePrefix="1" applyNumberFormat="1" applyFont="1" applyFill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3" fontId="0" fillId="4" borderId="0" xfId="0" applyNumberFormat="1" applyFill="1" applyProtection="1"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15" fillId="0" borderId="0" xfId="1" applyFont="1" applyBorder="1"/>
    <xf numFmtId="0" fontId="16" fillId="0" borderId="0" xfId="0" applyFont="1"/>
    <xf numFmtId="0" fontId="16" fillId="0" borderId="0" xfId="1" applyFont="1" applyBorder="1"/>
    <xf numFmtId="0" fontId="1" fillId="0" borderId="0" xfId="0" applyFont="1"/>
    <xf numFmtId="0" fontId="16" fillId="0" borderId="0" xfId="0" applyFont="1" applyBorder="1"/>
    <xf numFmtId="1" fontId="0" fillId="0" borderId="11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3" fontId="0" fillId="9" borderId="2" xfId="0" applyNumberFormat="1" applyFill="1" applyBorder="1"/>
    <xf numFmtId="3" fontId="0" fillId="9" borderId="3" xfId="0" applyNumberFormat="1" applyFill="1" applyBorder="1"/>
    <xf numFmtId="3" fontId="0" fillId="9" borderId="4" xfId="0" applyNumberFormat="1" applyFill="1" applyBorder="1"/>
    <xf numFmtId="165" fontId="0" fillId="0" borderId="3" xfId="0" applyNumberFormat="1" applyFill="1" applyBorder="1"/>
    <xf numFmtId="0" fontId="0" fillId="0" borderId="4" xfId="0" applyFill="1" applyBorder="1"/>
    <xf numFmtId="0" fontId="0" fillId="0" borderId="2" xfId="0" applyFill="1" applyBorder="1"/>
    <xf numFmtId="0" fontId="16" fillId="0" borderId="4" xfId="0" applyFont="1" applyBorder="1"/>
    <xf numFmtId="3" fontId="5" fillId="10" borderId="1" xfId="0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/>
    <xf numFmtId="0" fontId="0" fillId="8" borderId="0" xfId="0" applyFill="1"/>
    <xf numFmtId="0" fontId="7" fillId="8" borderId="0" xfId="1" applyFill="1" applyBorder="1"/>
    <xf numFmtId="0" fontId="0" fillId="8" borderId="0" xfId="0" applyFill="1" applyBorder="1"/>
    <xf numFmtId="0" fontId="0" fillId="8" borderId="0" xfId="0" applyFont="1" applyFill="1"/>
    <xf numFmtId="3" fontId="0" fillId="8" borderId="0" xfId="0" applyNumberFormat="1" applyFill="1"/>
    <xf numFmtId="0" fontId="20" fillId="8" borderId="0" xfId="0" applyFont="1" applyFill="1"/>
    <xf numFmtId="0" fontId="6" fillId="8" borderId="0" xfId="0" applyFont="1" applyFill="1"/>
    <xf numFmtId="0" fontId="21" fillId="8" borderId="0" xfId="0" applyFont="1" applyFill="1"/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8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0" fillId="0" borderId="2" xfId="0" applyBorder="1" applyAlignment="1">
      <alignment horizontal="left" shrinkToFi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312421</xdr:rowOff>
    </xdr:from>
    <xdr:to>
      <xdr:col>0</xdr:col>
      <xdr:colOff>1562100</xdr:colOff>
      <xdr:row>0</xdr:row>
      <xdr:rowOff>1342645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12421"/>
          <a:ext cx="1524000" cy="1030224"/>
        </a:xfrm>
        <a:prstGeom prst="rect">
          <a:avLst/>
        </a:prstGeom>
        <a:effectLst>
          <a:glow rad="63500">
            <a:schemeClr val="accent1">
              <a:alpha val="40000"/>
            </a:schemeClr>
          </a:glow>
          <a:outerShdw blurRad="50800" dist="50800" dir="5400000" algn="ctr" rotWithShape="0">
            <a:srgbClr val="000000">
              <a:alpha val="50000"/>
            </a:srgbClr>
          </a:outerShdw>
          <a:reflection stA="50000" endPos="65000" dist="50800" dir="5400000" sy="-100000" algn="bl" rotWithShape="0"/>
        </a:effectLst>
        <a:scene3d>
          <a:camera prst="orthographicFront">
            <a:rot lat="1080000" lon="20400000" rev="0"/>
          </a:camera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312420</xdr:rowOff>
    </xdr:from>
    <xdr:to>
      <xdr:col>0</xdr:col>
      <xdr:colOff>1783080</xdr:colOff>
      <xdr:row>0</xdr:row>
      <xdr:rowOff>1419807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2420"/>
          <a:ext cx="1783080" cy="1107387"/>
        </a:xfrm>
        <a:prstGeom prst="rect">
          <a:avLst/>
        </a:prstGeom>
        <a:ln>
          <a:solidFill>
            <a:schemeClr val="accent1"/>
          </a:solidFill>
        </a:ln>
        <a:effectLst>
          <a:glow rad="63500">
            <a:schemeClr val="accent1"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  <a:reflection blurRad="38100" stA="45000" endPos="40000" dir="5400000" sy="-100000" algn="bl" rotWithShape="0"/>
        </a:effectLst>
        <a:scene3d>
          <a:camera prst="orthographicFront">
            <a:rot lat="1075750" lon="20355353" rev="97326"/>
          </a:camera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</xdr:colOff>
      <xdr:row>0</xdr:row>
      <xdr:rowOff>213360</xdr:rowOff>
    </xdr:from>
    <xdr:to>
      <xdr:col>0</xdr:col>
      <xdr:colOff>1531620</xdr:colOff>
      <xdr:row>0</xdr:row>
      <xdr:rowOff>1455420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213360"/>
          <a:ext cx="1242060" cy="1242060"/>
        </a:xfrm>
        <a:prstGeom prst="rect">
          <a:avLst/>
        </a:prstGeom>
        <a:ln>
          <a:noFill/>
        </a:ln>
        <a:effectLst>
          <a:glow rad="63500">
            <a:schemeClr val="accent1">
              <a:satMod val="175000"/>
              <a:alpha val="40000"/>
            </a:schemeClr>
          </a:glow>
          <a:outerShdw blurRad="50800" dist="38100" dir="5400000" algn="t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isometricOffAxis1Right"/>
          <a:lightRig rig="threePt" dir="t"/>
        </a:scene3d>
        <a:sp3d z="19050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3" sqref="B3"/>
    </sheetView>
  </sheetViews>
  <sheetFormatPr defaultRowHeight="15" x14ac:dyDescent="0.25"/>
  <cols>
    <col min="1" max="1" width="80.7109375" customWidth="1"/>
    <col min="2" max="2" width="20.7109375" customWidth="1"/>
  </cols>
  <sheetData>
    <row r="1" spans="1:2" ht="120" customHeight="1" x14ac:dyDescent="0.3">
      <c r="A1" s="84" t="s">
        <v>112</v>
      </c>
      <c r="B1" s="85"/>
    </row>
    <row r="2" spans="1:2" ht="23.45" x14ac:dyDescent="0.45">
      <c r="A2" s="47" t="s">
        <v>65</v>
      </c>
      <c r="B2" s="48">
        <v>5</v>
      </c>
    </row>
    <row r="3" spans="1:2" ht="26.45" x14ac:dyDescent="0.45">
      <c r="A3" s="47" t="s">
        <v>43</v>
      </c>
      <c r="B3" s="48">
        <v>0.1</v>
      </c>
    </row>
    <row r="5" spans="1:2" ht="23.45" x14ac:dyDescent="0.45">
      <c r="A5" s="44" t="s">
        <v>90</v>
      </c>
      <c r="B5" s="49">
        <f>VLOOKUP(e_Delivery_head__m, headlistare,e_offset_kwh_y_i,FALSE)</f>
        <v>107493.075</v>
      </c>
    </row>
    <row r="6" spans="1:2" ht="23.45" x14ac:dyDescent="0.45">
      <c r="A6" s="44" t="s">
        <v>91</v>
      </c>
      <c r="B6" s="50">
        <f>VLOOKUP(e_Delivery_head__m,headlistare,e_offset_dol_i,FALSE)</f>
        <v>23648.476500000001</v>
      </c>
    </row>
    <row r="7" spans="1:2" ht="27" x14ac:dyDescent="0.6">
      <c r="A7" s="44" t="s">
        <v>92</v>
      </c>
      <c r="B7" s="49">
        <f>VLOOKUP(e_Delivery_head__m,headlistare,e_offset_co2_i,FALSE)</f>
        <v>50521.745249999993</v>
      </c>
    </row>
  </sheetData>
  <mergeCells count="1">
    <mergeCell ref="A1:B1"/>
  </mergeCells>
  <dataValidations count="2">
    <dataValidation type="list" allowBlank="1" showInputMessage="1" showErrorMessage="1" sqref="B3" xr:uid="{00000000-0002-0000-0000-000000000000}">
      <formula1>DelRateList</formula1>
    </dataValidation>
    <dataValidation type="list" allowBlank="1" showInputMessage="1" showErrorMessage="1" sqref="B2" xr:uid="{00000000-0002-0000-0000-000001000000}">
      <formula1>headlist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sqref="A1:B1"/>
    </sheetView>
  </sheetViews>
  <sheetFormatPr defaultRowHeight="15" x14ac:dyDescent="0.25"/>
  <cols>
    <col min="1" max="1" width="80.7109375" customWidth="1"/>
    <col min="2" max="2" width="20.7109375" customWidth="1"/>
  </cols>
  <sheetData>
    <row r="1" spans="1:2" s="46" customFormat="1" ht="120" customHeight="1" x14ac:dyDescent="0.65">
      <c r="A1" s="86" t="s">
        <v>51</v>
      </c>
      <c r="B1" s="87"/>
    </row>
    <row r="2" spans="1:2" ht="23.65" customHeight="1" x14ac:dyDescent="0.45">
      <c r="A2" s="47" t="s">
        <v>65</v>
      </c>
      <c r="B2" s="48">
        <v>100</v>
      </c>
    </row>
    <row r="3" spans="1:2" ht="23.65" customHeight="1" x14ac:dyDescent="0.45">
      <c r="A3" s="47" t="s">
        <v>43</v>
      </c>
      <c r="B3" s="48">
        <v>0.6</v>
      </c>
    </row>
    <row r="4" spans="1:2" ht="23.65" customHeight="1" x14ac:dyDescent="0.45">
      <c r="A4" s="44"/>
      <c r="B4" s="44"/>
    </row>
    <row r="5" spans="1:2" ht="23.65" customHeight="1" x14ac:dyDescent="0.45">
      <c r="A5" s="44" t="s">
        <v>44</v>
      </c>
      <c r="B5" s="49" t="e">
        <f>VLOOKUP(Delivery_head__m,headlistare,d_offset_litres_y_i,FALSE)</f>
        <v>#N/A</v>
      </c>
    </row>
    <row r="6" spans="1:2" ht="23.65" customHeight="1" x14ac:dyDescent="0.45">
      <c r="A6" s="44" t="s">
        <v>45</v>
      </c>
      <c r="B6" s="50" t="e">
        <f>VLOOKUP(Delivery_head__m,headlistare,d_offset_dol_i,FALSE)</f>
        <v>#N/A</v>
      </c>
    </row>
    <row r="7" spans="1:2" ht="23.65" customHeight="1" x14ac:dyDescent="0.6">
      <c r="A7" s="44" t="s">
        <v>46</v>
      </c>
      <c r="B7" s="49" t="e">
        <f>VLOOKUP(Delivery_head__m,headlistare,d_offset_co2_i,FALSE)</f>
        <v>#N/A</v>
      </c>
    </row>
  </sheetData>
  <mergeCells count="1">
    <mergeCell ref="A1:B1"/>
  </mergeCells>
  <dataValidations count="2">
    <dataValidation type="list" allowBlank="1" showInputMessage="1" showErrorMessage="1" sqref="B2" xr:uid="{00000000-0002-0000-0100-000000000000}">
      <formula1>headlist</formula1>
    </dataValidation>
    <dataValidation type="list" allowBlank="1" showInputMessage="1" showErrorMessage="1" sqref="B3" xr:uid="{00000000-0002-0000-0100-000001000000}">
      <formula1>DelRateList</formula1>
    </dataValidation>
  </dataValidations>
  <pageMargins left="0.7" right="0.7" top="0.75" bottom="0.75" header="0.3" footer="0.3"/>
  <pageSetup paperSize="9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>
      <selection activeCell="A10" sqref="A10:XFD10"/>
    </sheetView>
  </sheetViews>
  <sheetFormatPr defaultRowHeight="15" x14ac:dyDescent="0.25"/>
  <cols>
    <col min="1" max="1" width="48.7109375" customWidth="1"/>
    <col min="2" max="2" width="20.7109375" customWidth="1"/>
    <col min="3" max="3" width="19.85546875" customWidth="1"/>
    <col min="4" max="4" width="24.28515625" customWidth="1"/>
  </cols>
  <sheetData>
    <row r="1" spans="1:6" ht="117" customHeight="1" x14ac:dyDescent="0.3">
      <c r="A1" s="86" t="s">
        <v>39</v>
      </c>
      <c r="B1" s="86"/>
      <c r="C1" s="86"/>
      <c r="D1" s="86"/>
    </row>
    <row r="2" spans="1:6" ht="23.65" customHeight="1" x14ac:dyDescent="0.3">
      <c r="C2" s="35" t="s">
        <v>38</v>
      </c>
      <c r="D2" s="54" t="s">
        <v>0</v>
      </c>
      <c r="E2" s="2"/>
    </row>
    <row r="3" spans="1:6" ht="23.65" customHeight="1" x14ac:dyDescent="0.3">
      <c r="C3" s="35" t="s">
        <v>47</v>
      </c>
      <c r="D3" s="74">
        <v>10</v>
      </c>
      <c r="E3" s="2"/>
    </row>
    <row r="4" spans="1:6" ht="23.65" customHeight="1" x14ac:dyDescent="0.3">
      <c r="C4" s="35" t="s">
        <v>48</v>
      </c>
      <c r="D4" s="55" t="s">
        <v>41</v>
      </c>
      <c r="E4" s="2"/>
      <c r="F4" s="2"/>
    </row>
    <row r="5" spans="1:6" ht="23.65" customHeight="1" x14ac:dyDescent="0.3">
      <c r="A5" s="32"/>
      <c r="B5" s="33"/>
      <c r="C5" s="34"/>
      <c r="D5" s="2"/>
      <c r="E5" s="2"/>
    </row>
    <row r="6" spans="1:6" ht="23.65" customHeight="1" x14ac:dyDescent="0.45">
      <c r="B6" s="88" t="s">
        <v>50</v>
      </c>
      <c r="C6" s="89"/>
      <c r="D6" s="89"/>
    </row>
    <row r="7" spans="1:6" ht="23.65" customHeight="1" x14ac:dyDescent="0.45">
      <c r="A7" s="28"/>
      <c r="B7" s="29" t="s">
        <v>11</v>
      </c>
      <c r="C7" s="29" t="s">
        <v>12</v>
      </c>
      <c r="D7" s="29" t="s">
        <v>13</v>
      </c>
    </row>
    <row r="8" spans="1:6" ht="23.65" customHeight="1" x14ac:dyDescent="0.6">
      <c r="A8" s="27" t="s">
        <v>46</v>
      </c>
      <c r="B8" s="30">
        <f>VLOOKUP($D$2,croplistarea,d_offset_co2_i,FALSE)</f>
        <v>10830.076185857502</v>
      </c>
      <c r="C8" s="30">
        <f>VLOOKUP($D$2,croplistarea,offset_co2_v,FALSE)</f>
        <v>4332.0304743430006</v>
      </c>
      <c r="D8" s="30">
        <f>VLOOKUP($D$2,croplistarea,offset_co2_m,FALSE)</f>
        <v>8664.0609486860012</v>
      </c>
    </row>
    <row r="9" spans="1:6" ht="23.65" customHeight="1" x14ac:dyDescent="0.45">
      <c r="A9" s="44" t="s">
        <v>45</v>
      </c>
      <c r="B9" s="51">
        <f>VLOOKUP($D$2,croplistarea,d_offset_dol_i,FALSE)</f>
        <v>2603.407402047731</v>
      </c>
      <c r="C9" s="51">
        <f>VLOOKUP($D$2,croplistarea,offset_dol_v,FALSE)</f>
        <v>1041.3629608190925</v>
      </c>
      <c r="D9" s="51">
        <f>VLOOKUP($D$2,croplistarea,offset_dol_m,FALSE)</f>
        <v>2082.7259216381849</v>
      </c>
    </row>
    <row r="10" spans="1:6" ht="23.65" hidden="1" customHeight="1" x14ac:dyDescent="0.45">
      <c r="A10" s="44" t="s">
        <v>49</v>
      </c>
      <c r="B10" s="52">
        <f>VLOOKUP($D$2,croplistarea,d_offset_myr_i,FALSE)</f>
        <v>8328.265292108199</v>
      </c>
      <c r="C10" s="52">
        <f>VLOOKUP($D$2,croplistarea,offset_myr_v,FALSE)</f>
        <v>3331.3061168432796</v>
      </c>
      <c r="D10" s="52">
        <f>VLOOKUP($D$2,croplistarea,offset_myr_m,FALSE)</f>
        <v>6662.6122336865592</v>
      </c>
    </row>
  </sheetData>
  <sheetProtection selectLockedCells="1"/>
  <mergeCells count="2">
    <mergeCell ref="A1:D1"/>
    <mergeCell ref="B6:D6"/>
  </mergeCells>
  <dataValidations count="2">
    <dataValidation type="list" allowBlank="1" promptTitle="Crop Area" prompt="Enter the area of the crop in hectares" sqref="D3" xr:uid="{00000000-0002-0000-0200-000000000000}">
      <formula1>arealist</formula1>
    </dataValidation>
    <dataValidation type="list" allowBlank="1" showErrorMessage="1" promptTitle="Crop plant" prompt="Select the crop plant name from the list" sqref="D2" xr:uid="{00000000-0002-0000-0200-000001000000}">
      <formula1>croplist</formula1>
    </dataValidation>
  </dataValidations>
  <pageMargins left="2.0866141732283467" right="0.70866141732283472" top="1.3385826771653544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Calculation!$A$5:$A$6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94"/>
  <sheetViews>
    <sheetView tabSelected="1" zoomScale="85" zoomScaleNormal="85" workbookViewId="0">
      <selection activeCell="C45" sqref="C45"/>
    </sheetView>
  </sheetViews>
  <sheetFormatPr defaultRowHeight="15" x14ac:dyDescent="0.25"/>
  <cols>
    <col min="1" max="1" width="30" customWidth="1"/>
    <col min="2" max="2" width="16.7109375" customWidth="1"/>
    <col min="3" max="3" width="20.7109375" customWidth="1"/>
    <col min="4" max="4" width="13.140625" customWidth="1"/>
    <col min="8" max="8" width="9.7109375" bestFit="1" customWidth="1"/>
    <col min="9" max="9" width="9.7109375" customWidth="1"/>
    <col min="10" max="10" width="11.28515625" bestFit="1" customWidth="1"/>
    <col min="11" max="11" width="10.42578125" customWidth="1"/>
    <col min="12" max="12" width="9.7109375" customWidth="1"/>
    <col min="13" max="14" width="8.85546875" customWidth="1"/>
    <col min="15" max="15" width="9.28515625" customWidth="1"/>
    <col min="16" max="16" width="10" customWidth="1"/>
    <col min="17" max="17" width="10.5703125" customWidth="1"/>
    <col min="18" max="18" width="11.28515625" customWidth="1"/>
    <col min="19" max="19" width="11" customWidth="1"/>
    <col min="20" max="20" width="11.140625" customWidth="1"/>
    <col min="21" max="21" width="8.85546875" customWidth="1"/>
    <col min="22" max="22" width="9.85546875" customWidth="1"/>
    <col min="23" max="23" width="13.140625" customWidth="1"/>
    <col min="24" max="24" width="8.85546875" customWidth="1"/>
    <col min="25" max="25" width="11.85546875" customWidth="1"/>
    <col min="26" max="26" width="12" customWidth="1"/>
    <col min="27" max="28" width="8.85546875" customWidth="1"/>
    <col min="29" max="29" width="13.42578125" customWidth="1"/>
    <col min="32" max="32" width="12.42578125" customWidth="1"/>
    <col min="38" max="38" width="15.28515625" customWidth="1"/>
    <col min="41" max="41" width="12.28515625" customWidth="1"/>
  </cols>
  <sheetData>
    <row r="1" spans="1:43" ht="19.149999999999999" customHeight="1" x14ac:dyDescent="0.35">
      <c r="D1" s="19" t="s">
        <v>22</v>
      </c>
    </row>
    <row r="2" spans="1:43" s="20" customFormat="1" x14ac:dyDescent="0.25">
      <c r="A2" s="26" t="s">
        <v>17</v>
      </c>
      <c r="B2" s="37">
        <f>Crop_Calculator!D3</f>
        <v>10</v>
      </c>
      <c r="C2" s="41"/>
      <c r="D2" s="96" t="s">
        <v>24</v>
      </c>
      <c r="E2" s="97"/>
      <c r="F2" s="97"/>
      <c r="G2" s="97"/>
      <c r="H2" s="98" t="s">
        <v>14</v>
      </c>
      <c r="I2" s="99"/>
      <c r="J2" s="100"/>
      <c r="K2" s="101" t="s">
        <v>15</v>
      </c>
      <c r="L2" s="101"/>
      <c r="M2" s="102"/>
      <c r="N2" s="103" t="s">
        <v>16</v>
      </c>
      <c r="O2" s="101"/>
      <c r="P2" s="102"/>
      <c r="Q2" s="90" t="s">
        <v>23</v>
      </c>
      <c r="R2" s="91"/>
      <c r="S2" s="92"/>
      <c r="T2" s="90" t="s">
        <v>36</v>
      </c>
      <c r="U2" s="91"/>
      <c r="V2" s="92"/>
      <c r="W2" s="90" t="s">
        <v>25</v>
      </c>
      <c r="X2" s="91"/>
      <c r="Y2" s="92"/>
      <c r="Z2" s="90" t="s">
        <v>21</v>
      </c>
      <c r="AA2" s="91"/>
      <c r="AB2" s="92"/>
      <c r="AC2" s="93" t="s">
        <v>34</v>
      </c>
      <c r="AD2" s="94"/>
      <c r="AE2" s="95"/>
      <c r="AF2" s="90" t="s">
        <v>97</v>
      </c>
      <c r="AG2" s="91"/>
      <c r="AH2" s="92"/>
      <c r="AI2" s="90" t="s">
        <v>98</v>
      </c>
      <c r="AJ2" s="91"/>
      <c r="AK2" s="92"/>
      <c r="AL2" s="90" t="s">
        <v>99</v>
      </c>
      <c r="AM2" s="91"/>
      <c r="AN2" s="92"/>
      <c r="AO2" s="93" t="s">
        <v>100</v>
      </c>
      <c r="AP2" s="94"/>
      <c r="AQ2" s="95"/>
    </row>
    <row r="3" spans="1:43" ht="14.45" x14ac:dyDescent="0.3">
      <c r="A3" s="12" t="s">
        <v>18</v>
      </c>
      <c r="B3" s="38">
        <f>VLOOKUP(Crop_Calculator!D4,Calculation!A5:B6,2)</f>
        <v>25</v>
      </c>
      <c r="C3" s="41"/>
      <c r="D3" s="73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11</v>
      </c>
      <c r="L3" s="14" t="s">
        <v>12</v>
      </c>
      <c r="M3" s="14" t="s">
        <v>13</v>
      </c>
      <c r="N3" s="14" t="s">
        <v>11</v>
      </c>
      <c r="O3" s="14" t="s">
        <v>12</v>
      </c>
      <c r="P3" s="14" t="s">
        <v>13</v>
      </c>
      <c r="Q3" s="14" t="s">
        <v>11</v>
      </c>
      <c r="R3" s="14" t="s">
        <v>12</v>
      </c>
      <c r="S3" s="14" t="s">
        <v>13</v>
      </c>
      <c r="T3" s="14" t="s">
        <v>11</v>
      </c>
      <c r="U3" s="14" t="s">
        <v>12</v>
      </c>
      <c r="V3" s="14" t="s">
        <v>13</v>
      </c>
      <c r="W3" s="14" t="s">
        <v>11</v>
      </c>
      <c r="X3" s="14" t="s">
        <v>12</v>
      </c>
      <c r="Y3" s="14" t="s">
        <v>13</v>
      </c>
      <c r="Z3" s="14" t="s">
        <v>11</v>
      </c>
      <c r="AA3" s="14" t="s">
        <v>12</v>
      </c>
      <c r="AB3" s="14" t="s">
        <v>13</v>
      </c>
      <c r="AC3" s="14" t="s">
        <v>11</v>
      </c>
      <c r="AD3" s="14" t="s">
        <v>12</v>
      </c>
      <c r="AE3" s="14" t="s">
        <v>13</v>
      </c>
      <c r="AF3" s="14" t="s">
        <v>11</v>
      </c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14.45" x14ac:dyDescent="0.3">
      <c r="A4" s="1"/>
      <c r="B4" s="60" t="s">
        <v>59</v>
      </c>
      <c r="C4" s="41"/>
      <c r="D4" s="38" t="s">
        <v>0</v>
      </c>
      <c r="E4" s="38" t="s">
        <v>27</v>
      </c>
      <c r="F4" s="70">
        <f>3*1</f>
        <v>3</v>
      </c>
      <c r="G4" s="71">
        <f>ROUNDUP(10000/F4,0)</f>
        <v>3334</v>
      </c>
      <c r="H4" s="72">
        <v>1.5</v>
      </c>
      <c r="I4" s="38">
        <v>6</v>
      </c>
      <c r="J4" s="38">
        <v>12</v>
      </c>
      <c r="K4" s="67">
        <f>H4*$G4 *$B$2</f>
        <v>50010</v>
      </c>
      <c r="L4" s="68">
        <f t="shared" ref="L4:M4" si="0">I4*$G4</f>
        <v>20004</v>
      </c>
      <c r="M4" s="68">
        <f t="shared" si="0"/>
        <v>40008</v>
      </c>
      <c r="N4" s="67">
        <f>K4*0.001</f>
        <v>50.01</v>
      </c>
      <c r="O4" s="68">
        <f t="shared" ref="O4:P4" si="1">L4*0.001</f>
        <v>20.004000000000001</v>
      </c>
      <c r="P4" s="69">
        <f t="shared" si="1"/>
        <v>40.008000000000003</v>
      </c>
      <c r="Q4" s="16">
        <f t="shared" ref="Q4:S11" si="2">K4*$B$2</f>
        <v>500100</v>
      </c>
      <c r="R4" s="15">
        <f t="shared" si="2"/>
        <v>200040</v>
      </c>
      <c r="S4" s="17">
        <f t="shared" si="2"/>
        <v>400080</v>
      </c>
      <c r="T4" s="61">
        <f>365.25*Q4*$B$3*9.81/($B$7*$B$8)</f>
        <v>4164.1326460540995</v>
      </c>
      <c r="U4" s="65">
        <f t="shared" ref="U4:V4" si="3">365.25*R4*$B$3*9.81/($B$7*$B$8)</f>
        <v>1665.6530584216398</v>
      </c>
      <c r="V4" s="66">
        <f t="shared" si="3"/>
        <v>3331.3061168432796</v>
      </c>
      <c r="W4" s="62">
        <f t="shared" ref="W4:Y11" si="4">T4*Diesel_Cost__Sen_l/100</f>
        <v>8328.265292108199</v>
      </c>
      <c r="X4" s="63">
        <f t="shared" si="4"/>
        <v>3331.3061168432796</v>
      </c>
      <c r="Y4" s="64">
        <f t="shared" si="4"/>
        <v>6662.6122336865592</v>
      </c>
      <c r="Z4" s="62">
        <f t="shared" ref="Z4:AB11" si="5">W4*Ringit</f>
        <v>2603.407402047731</v>
      </c>
      <c r="AA4" s="63">
        <f t="shared" si="5"/>
        <v>1041.3629608190925</v>
      </c>
      <c r="AB4" s="64">
        <f t="shared" si="5"/>
        <v>2082.7259216381849</v>
      </c>
      <c r="AC4" s="62">
        <f t="shared" ref="AC4:AE11" si="6">T4*Diesel_Co2_per_litre__kg_l</f>
        <v>10830.076185857502</v>
      </c>
      <c r="AD4" s="63">
        <f t="shared" si="6"/>
        <v>4332.0304743430006</v>
      </c>
      <c r="AE4" s="64">
        <f t="shared" si="6"/>
        <v>8664.0609486860012</v>
      </c>
      <c r="AF4" s="61"/>
      <c r="AG4" s="65"/>
      <c r="AH4" s="66"/>
      <c r="AI4" s="62"/>
      <c r="AJ4" s="63"/>
      <c r="AK4" s="64"/>
      <c r="AL4" s="62"/>
      <c r="AM4" s="63"/>
      <c r="AN4" s="64"/>
      <c r="AO4" s="62"/>
      <c r="AP4" s="63"/>
      <c r="AQ4" s="64"/>
    </row>
    <row r="5" spans="1:43" ht="14.45" x14ac:dyDescent="0.3">
      <c r="A5" s="1" t="str">
        <f>CONCATENATE("Highland ",TEXT(B5,"###,###0")," (m)")</f>
        <v>Highland 75 (m)</v>
      </c>
      <c r="B5" s="36">
        <v>75</v>
      </c>
      <c r="C5" s="42"/>
      <c r="D5" s="2" t="s">
        <v>1</v>
      </c>
      <c r="E5" s="2" t="s">
        <v>28</v>
      </c>
      <c r="F5" s="21">
        <f>7*4</f>
        <v>28</v>
      </c>
      <c r="G5" s="3">
        <f t="shared" ref="G5:G10" si="7">ROUNDUP(10000/F5,0)</f>
        <v>358</v>
      </c>
      <c r="H5" s="1">
        <v>7.5</v>
      </c>
      <c r="I5" s="2">
        <v>27</v>
      </c>
      <c r="J5" s="2">
        <v>69</v>
      </c>
      <c r="K5" s="67">
        <f t="shared" ref="K5:K11" si="8">H5*$G5 *$B$2</f>
        <v>26850</v>
      </c>
      <c r="L5" s="68">
        <f t="shared" ref="L5:L11" si="9">I5*$G5</f>
        <v>9666</v>
      </c>
      <c r="M5" s="68">
        <f t="shared" ref="M5:M11" si="10">J5*$G5</f>
        <v>24702</v>
      </c>
      <c r="N5" s="4">
        <f t="shared" ref="N5:N10" si="11">K5*0.001</f>
        <v>26.85</v>
      </c>
      <c r="O5" s="5">
        <f t="shared" ref="O5:O10" si="12">L5*0.001</f>
        <v>9.6660000000000004</v>
      </c>
      <c r="P5" s="6">
        <f t="shared" ref="P5:P10" si="13">M5*0.001</f>
        <v>24.702000000000002</v>
      </c>
      <c r="Q5" s="4">
        <f t="shared" si="2"/>
        <v>268500</v>
      </c>
      <c r="R5" s="5">
        <f t="shared" si="2"/>
        <v>96660</v>
      </c>
      <c r="S5" s="6">
        <f t="shared" si="2"/>
        <v>247020</v>
      </c>
      <c r="T5" s="61">
        <f t="shared" ref="T5:T11" si="14">365.25*Q5*$B$3*9.81/($B$7*$B$8)</f>
        <v>2235.6920925125487</v>
      </c>
      <c r="U5" s="65">
        <f t="shared" ref="U5:U11" si="15">365.25*R5*$B$3*9.81/($B$7*$B$8)</f>
        <v>804.84915330451759</v>
      </c>
      <c r="V5" s="66">
        <f t="shared" ref="V5:V11" si="16">365.25*S5*$B$3*9.81/($B$7*$B$8)</f>
        <v>2056.8367251115451</v>
      </c>
      <c r="W5" s="62">
        <f t="shared" si="4"/>
        <v>4471.3841850250974</v>
      </c>
      <c r="X5" s="63">
        <f t="shared" si="4"/>
        <v>1609.6983066090352</v>
      </c>
      <c r="Y5" s="64">
        <f t="shared" si="4"/>
        <v>4113.6734502230902</v>
      </c>
      <c r="Z5" s="62">
        <f t="shared" si="5"/>
        <v>1397.7502248546605</v>
      </c>
      <c r="AA5" s="63">
        <f t="shared" si="5"/>
        <v>503.19008094767781</v>
      </c>
      <c r="AB5" s="64">
        <f t="shared" si="5"/>
        <v>1285.9302068662878</v>
      </c>
      <c r="AC5" s="62">
        <f t="shared" si="6"/>
        <v>5814.5879942066367</v>
      </c>
      <c r="AD5" s="63">
        <f t="shared" si="6"/>
        <v>2093.2516779143893</v>
      </c>
      <c r="AE5" s="64">
        <f t="shared" si="6"/>
        <v>5349.4209546701068</v>
      </c>
      <c r="AF5" s="61"/>
      <c r="AG5" s="65"/>
      <c r="AH5" s="66"/>
      <c r="AI5" s="62"/>
      <c r="AJ5" s="63"/>
      <c r="AK5" s="64"/>
      <c r="AL5" s="62"/>
      <c r="AM5" s="63"/>
      <c r="AN5" s="64"/>
      <c r="AO5" s="62"/>
      <c r="AP5" s="63"/>
      <c r="AQ5" s="64"/>
    </row>
    <row r="6" spans="1:43" ht="14.45" x14ac:dyDescent="0.3">
      <c r="A6" s="24" t="str">
        <f>CONCATENATE("Lowland ",TEXT(B6,"###,###0")," (m)")</f>
        <v>Lowland 25 (m)</v>
      </c>
      <c r="B6" s="39">
        <v>25</v>
      </c>
      <c r="C6" s="42"/>
      <c r="D6" s="2" t="s">
        <v>2</v>
      </c>
      <c r="E6" s="2" t="s">
        <v>29</v>
      </c>
      <c r="F6" s="21">
        <f>3*3</f>
        <v>9</v>
      </c>
      <c r="G6" s="3">
        <f t="shared" si="7"/>
        <v>1112</v>
      </c>
      <c r="H6" s="1">
        <v>1.5</v>
      </c>
      <c r="I6" s="2">
        <v>6</v>
      </c>
      <c r="J6" s="2">
        <v>12</v>
      </c>
      <c r="K6" s="67">
        <f t="shared" si="8"/>
        <v>16680</v>
      </c>
      <c r="L6" s="68">
        <f t="shared" si="9"/>
        <v>6672</v>
      </c>
      <c r="M6" s="68">
        <f t="shared" si="10"/>
        <v>13344</v>
      </c>
      <c r="N6" s="4">
        <f t="shared" si="11"/>
        <v>16.68</v>
      </c>
      <c r="O6" s="5">
        <f t="shared" si="12"/>
        <v>6.6719999999999997</v>
      </c>
      <c r="P6" s="6">
        <f t="shared" si="13"/>
        <v>13.343999999999999</v>
      </c>
      <c r="Q6" s="4">
        <f t="shared" si="2"/>
        <v>166800</v>
      </c>
      <c r="R6" s="5">
        <f t="shared" si="2"/>
        <v>66720</v>
      </c>
      <c r="S6" s="6">
        <f t="shared" si="2"/>
        <v>133440</v>
      </c>
      <c r="T6" s="61">
        <f t="shared" si="14"/>
        <v>1388.8768753485779</v>
      </c>
      <c r="U6" s="65">
        <f t="shared" si="15"/>
        <v>555.5507501394311</v>
      </c>
      <c r="V6" s="66">
        <f t="shared" si="16"/>
        <v>1111.1015002788622</v>
      </c>
      <c r="W6" s="62">
        <f t="shared" si="4"/>
        <v>2777.7537506971553</v>
      </c>
      <c r="X6" s="63">
        <f t="shared" si="4"/>
        <v>1111.1015002788622</v>
      </c>
      <c r="Y6" s="64">
        <f t="shared" si="4"/>
        <v>2222.2030005577244</v>
      </c>
      <c r="Z6" s="62">
        <f t="shared" si="5"/>
        <v>868.32304471418013</v>
      </c>
      <c r="AA6" s="63">
        <f t="shared" si="5"/>
        <v>347.32921788567205</v>
      </c>
      <c r="AB6" s="64">
        <f t="shared" si="5"/>
        <v>694.6584357713441</v>
      </c>
      <c r="AC6" s="62">
        <f t="shared" si="6"/>
        <v>3612.1909774065812</v>
      </c>
      <c r="AD6" s="63">
        <f t="shared" si="6"/>
        <v>1444.8763909626325</v>
      </c>
      <c r="AE6" s="64">
        <f t="shared" si="6"/>
        <v>2889.752781925265</v>
      </c>
      <c r="AF6" s="61"/>
      <c r="AG6" s="65"/>
      <c r="AH6" s="66"/>
      <c r="AI6" s="62"/>
      <c r="AJ6" s="63"/>
      <c r="AK6" s="64"/>
      <c r="AL6" s="62"/>
      <c r="AM6" s="63"/>
      <c r="AN6" s="64"/>
      <c r="AO6" s="62"/>
      <c r="AP6" s="63"/>
      <c r="AQ6" s="64"/>
    </row>
    <row r="7" spans="1:43" ht="14.45" x14ac:dyDescent="0.3">
      <c r="A7" s="23" t="s">
        <v>37</v>
      </c>
      <c r="B7" s="53">
        <v>35860000</v>
      </c>
      <c r="C7" s="42"/>
      <c r="D7" s="2" t="s">
        <v>3</v>
      </c>
      <c r="E7" s="2" t="s">
        <v>30</v>
      </c>
      <c r="F7" s="21">
        <f>9*1</f>
        <v>9</v>
      </c>
      <c r="G7" s="3">
        <f t="shared" si="7"/>
        <v>1112</v>
      </c>
      <c r="H7" s="1">
        <v>5</v>
      </c>
      <c r="I7" s="2">
        <v>17</v>
      </c>
      <c r="J7" s="2">
        <v>32</v>
      </c>
      <c r="K7" s="67">
        <f t="shared" si="8"/>
        <v>55600</v>
      </c>
      <c r="L7" s="68">
        <f t="shared" si="9"/>
        <v>18904</v>
      </c>
      <c r="M7" s="68">
        <f t="shared" si="10"/>
        <v>35584</v>
      </c>
      <c r="N7" s="4">
        <f t="shared" si="11"/>
        <v>55.6</v>
      </c>
      <c r="O7" s="5">
        <f t="shared" si="12"/>
        <v>18.904</v>
      </c>
      <c r="P7" s="6">
        <f t="shared" si="13"/>
        <v>35.584000000000003</v>
      </c>
      <c r="Q7" s="4">
        <f t="shared" si="2"/>
        <v>556000</v>
      </c>
      <c r="R7" s="5">
        <f t="shared" si="2"/>
        <v>189040</v>
      </c>
      <c r="S7" s="6">
        <f t="shared" si="2"/>
        <v>355840</v>
      </c>
      <c r="T7" s="61">
        <f t="shared" si="14"/>
        <v>4629.5895844952593</v>
      </c>
      <c r="U7" s="65">
        <f t="shared" si="15"/>
        <v>1574.0604587283881</v>
      </c>
      <c r="V7" s="66">
        <f t="shared" si="16"/>
        <v>2962.9373340769662</v>
      </c>
      <c r="W7" s="62">
        <f t="shared" si="4"/>
        <v>9259.1791689905185</v>
      </c>
      <c r="X7" s="63">
        <f t="shared" si="4"/>
        <v>3148.1209174567762</v>
      </c>
      <c r="Y7" s="64">
        <f t="shared" si="4"/>
        <v>5925.8746681539315</v>
      </c>
      <c r="Z7" s="62">
        <f t="shared" si="5"/>
        <v>2894.4101490472672</v>
      </c>
      <c r="AA7" s="63">
        <f t="shared" si="5"/>
        <v>984.09945067607077</v>
      </c>
      <c r="AB7" s="64">
        <f t="shared" si="5"/>
        <v>1852.422495390251</v>
      </c>
      <c r="AC7" s="62">
        <f t="shared" si="6"/>
        <v>12040.636591355271</v>
      </c>
      <c r="AD7" s="63">
        <f t="shared" si="6"/>
        <v>4093.8164410607919</v>
      </c>
      <c r="AE7" s="64">
        <f t="shared" si="6"/>
        <v>7706.007418467374</v>
      </c>
      <c r="AF7" s="61"/>
      <c r="AG7" s="65"/>
      <c r="AH7" s="66"/>
      <c r="AI7" s="62"/>
      <c r="AJ7" s="63"/>
      <c r="AK7" s="64"/>
      <c r="AL7" s="62"/>
      <c r="AM7" s="63"/>
      <c r="AN7" s="64"/>
      <c r="AO7" s="62"/>
      <c r="AP7" s="63"/>
      <c r="AQ7" s="64"/>
    </row>
    <row r="8" spans="1:43" ht="14.45" x14ac:dyDescent="0.3">
      <c r="A8" t="s">
        <v>35</v>
      </c>
      <c r="B8" s="31">
        <v>0.3</v>
      </c>
      <c r="C8" s="43"/>
      <c r="D8" s="2" t="s">
        <v>4</v>
      </c>
      <c r="E8" s="2" t="s">
        <v>31</v>
      </c>
      <c r="F8" s="21">
        <f>6*6</f>
        <v>36</v>
      </c>
      <c r="G8" s="3">
        <f t="shared" si="7"/>
        <v>278</v>
      </c>
      <c r="H8" s="1">
        <v>9</v>
      </c>
      <c r="I8" s="2">
        <v>36</v>
      </c>
      <c r="J8" s="2">
        <v>89</v>
      </c>
      <c r="K8" s="67">
        <f t="shared" si="8"/>
        <v>25020</v>
      </c>
      <c r="L8" s="68">
        <f t="shared" si="9"/>
        <v>10008</v>
      </c>
      <c r="M8" s="68">
        <f t="shared" si="10"/>
        <v>24742</v>
      </c>
      <c r="N8" s="4">
        <f t="shared" si="11"/>
        <v>25.02</v>
      </c>
      <c r="O8" s="5">
        <f t="shared" si="12"/>
        <v>10.008000000000001</v>
      </c>
      <c r="P8" s="6">
        <f t="shared" si="13"/>
        <v>24.742000000000001</v>
      </c>
      <c r="Q8" s="4">
        <f t="shared" si="2"/>
        <v>250200</v>
      </c>
      <c r="R8" s="5">
        <f t="shared" si="2"/>
        <v>100080</v>
      </c>
      <c r="S8" s="6">
        <f t="shared" si="2"/>
        <v>247420</v>
      </c>
      <c r="T8" s="61">
        <f t="shared" si="14"/>
        <v>2083.3153130228666</v>
      </c>
      <c r="U8" s="65">
        <f t="shared" si="15"/>
        <v>833.32612520914665</v>
      </c>
      <c r="V8" s="66">
        <f t="shared" si="16"/>
        <v>2060.1673651003903</v>
      </c>
      <c r="W8" s="62">
        <f t="shared" si="4"/>
        <v>4166.6306260457332</v>
      </c>
      <c r="X8" s="63">
        <f t="shared" si="4"/>
        <v>1666.6522504182933</v>
      </c>
      <c r="Y8" s="64">
        <f t="shared" si="4"/>
        <v>4120.3347302007805</v>
      </c>
      <c r="Z8" s="62">
        <f t="shared" si="5"/>
        <v>1302.4845670712702</v>
      </c>
      <c r="AA8" s="63">
        <f t="shared" si="5"/>
        <v>520.99382682850808</v>
      </c>
      <c r="AB8" s="64">
        <f t="shared" si="5"/>
        <v>1288.0125163260338</v>
      </c>
      <c r="AC8" s="62">
        <f t="shared" si="6"/>
        <v>5418.2864661098711</v>
      </c>
      <c r="AD8" s="63">
        <f t="shared" si="6"/>
        <v>2167.3145864439484</v>
      </c>
      <c r="AE8" s="64">
        <f t="shared" si="6"/>
        <v>5358.0832831530952</v>
      </c>
      <c r="AF8" s="61"/>
      <c r="AG8" s="65"/>
      <c r="AH8" s="66"/>
      <c r="AI8" s="62"/>
      <c r="AJ8" s="63"/>
      <c r="AK8" s="64"/>
      <c r="AL8" s="62"/>
      <c r="AM8" s="63"/>
      <c r="AN8" s="64"/>
      <c r="AO8" s="62"/>
      <c r="AP8" s="63"/>
      <c r="AQ8" s="64"/>
    </row>
    <row r="9" spans="1:43" ht="14.45" x14ac:dyDescent="0.3">
      <c r="A9" s="26" t="s">
        <v>19</v>
      </c>
      <c r="B9" s="40">
        <v>200</v>
      </c>
      <c r="C9" s="42"/>
      <c r="D9" s="2" t="s">
        <v>5</v>
      </c>
      <c r="E9" s="2" t="s">
        <v>32</v>
      </c>
      <c r="F9" s="21">
        <f>2.8*1.7</f>
        <v>4.76</v>
      </c>
      <c r="G9" s="3">
        <f t="shared" si="7"/>
        <v>2101</v>
      </c>
      <c r="H9" s="1">
        <v>2</v>
      </c>
      <c r="I9" s="2">
        <v>7</v>
      </c>
      <c r="J9" s="2">
        <v>19</v>
      </c>
      <c r="K9" s="67">
        <f t="shared" si="8"/>
        <v>42020</v>
      </c>
      <c r="L9" s="68">
        <f t="shared" si="9"/>
        <v>14707</v>
      </c>
      <c r="M9" s="68">
        <f t="shared" si="10"/>
        <v>39919</v>
      </c>
      <c r="N9" s="4">
        <f t="shared" si="11"/>
        <v>42.02</v>
      </c>
      <c r="O9" s="5">
        <f t="shared" si="12"/>
        <v>14.707000000000001</v>
      </c>
      <c r="P9" s="6">
        <f t="shared" si="13"/>
        <v>39.919000000000004</v>
      </c>
      <c r="Q9" s="4">
        <f t="shared" si="2"/>
        <v>420200</v>
      </c>
      <c r="R9" s="5">
        <f t="shared" si="2"/>
        <v>147070</v>
      </c>
      <c r="S9" s="6">
        <f t="shared" si="2"/>
        <v>399190</v>
      </c>
      <c r="T9" s="61">
        <f t="shared" si="14"/>
        <v>3498.8373082822086</v>
      </c>
      <c r="U9" s="65">
        <f t="shared" si="15"/>
        <v>1224.5930578987729</v>
      </c>
      <c r="V9" s="66">
        <f t="shared" si="16"/>
        <v>3323.8954428680981</v>
      </c>
      <c r="W9" s="62">
        <f t="shared" si="4"/>
        <v>6997.6746165644172</v>
      </c>
      <c r="X9" s="63">
        <f t="shared" si="4"/>
        <v>2449.1861157975459</v>
      </c>
      <c r="Y9" s="64">
        <f t="shared" si="4"/>
        <v>6647.7908857361963</v>
      </c>
      <c r="Z9" s="62">
        <f t="shared" si="5"/>
        <v>2187.4660874634205</v>
      </c>
      <c r="AA9" s="63">
        <f t="shared" si="5"/>
        <v>765.6131306121971</v>
      </c>
      <c r="AB9" s="64">
        <f t="shared" si="5"/>
        <v>2078.0927830902492</v>
      </c>
      <c r="AC9" s="62">
        <f t="shared" si="6"/>
        <v>9099.7760713803673</v>
      </c>
      <c r="AD9" s="63">
        <f t="shared" si="6"/>
        <v>3184.9216249831288</v>
      </c>
      <c r="AE9" s="64">
        <f t="shared" si="6"/>
        <v>8644.787267811349</v>
      </c>
      <c r="AF9" s="61"/>
      <c r="AG9" s="65"/>
      <c r="AH9" s="66"/>
      <c r="AI9" s="62"/>
      <c r="AJ9" s="63"/>
      <c r="AK9" s="64"/>
      <c r="AL9" s="62"/>
      <c r="AM9" s="63"/>
      <c r="AN9" s="64"/>
      <c r="AO9" s="62"/>
      <c r="AP9" s="63"/>
      <c r="AQ9" s="64"/>
    </row>
    <row r="10" spans="1:43" ht="14.45" x14ac:dyDescent="0.3">
      <c r="A10" s="26" t="s">
        <v>20</v>
      </c>
      <c r="B10" s="40">
        <v>0.31259900000000002</v>
      </c>
      <c r="C10" s="42"/>
      <c r="D10" s="2" t="s">
        <v>6</v>
      </c>
      <c r="E10" s="2" t="s">
        <v>31</v>
      </c>
      <c r="F10" s="21">
        <f>6*6</f>
        <v>36</v>
      </c>
      <c r="G10" s="3">
        <f t="shared" si="7"/>
        <v>278</v>
      </c>
      <c r="H10" s="1">
        <v>14</v>
      </c>
      <c r="I10" s="2">
        <v>62</v>
      </c>
      <c r="J10" s="2">
        <v>126</v>
      </c>
      <c r="K10" s="67">
        <f t="shared" si="8"/>
        <v>38920</v>
      </c>
      <c r="L10" s="68">
        <f t="shared" si="9"/>
        <v>17236</v>
      </c>
      <c r="M10" s="68">
        <f t="shared" si="10"/>
        <v>35028</v>
      </c>
      <c r="N10" s="4">
        <f t="shared" si="11"/>
        <v>38.92</v>
      </c>
      <c r="O10" s="5">
        <f t="shared" si="12"/>
        <v>17.236000000000001</v>
      </c>
      <c r="P10" s="6">
        <f t="shared" si="13"/>
        <v>35.027999999999999</v>
      </c>
      <c r="Q10" s="4">
        <f t="shared" si="2"/>
        <v>389200</v>
      </c>
      <c r="R10" s="5">
        <f t="shared" si="2"/>
        <v>172360</v>
      </c>
      <c r="S10" s="6">
        <f t="shared" si="2"/>
        <v>350280</v>
      </c>
      <c r="T10" s="61">
        <f t="shared" si="14"/>
        <v>3240.7127091466814</v>
      </c>
      <c r="U10" s="65">
        <f t="shared" si="15"/>
        <v>1435.1727711935305</v>
      </c>
      <c r="V10" s="66">
        <f t="shared" si="16"/>
        <v>2916.6414382320136</v>
      </c>
      <c r="W10" s="62">
        <f t="shared" si="4"/>
        <v>6481.4254182933628</v>
      </c>
      <c r="X10" s="63">
        <f t="shared" si="4"/>
        <v>2870.3455423870605</v>
      </c>
      <c r="Y10" s="64">
        <f t="shared" si="4"/>
        <v>5833.2828764640271</v>
      </c>
      <c r="Z10" s="62">
        <f t="shared" si="5"/>
        <v>2026.0871043330869</v>
      </c>
      <c r="AA10" s="63">
        <f t="shared" si="5"/>
        <v>897.26714620465282</v>
      </c>
      <c r="AB10" s="64">
        <f t="shared" si="5"/>
        <v>1823.4783938997784</v>
      </c>
      <c r="AC10" s="62">
        <f t="shared" si="6"/>
        <v>8428.4456139486883</v>
      </c>
      <c r="AD10" s="63">
        <f t="shared" si="6"/>
        <v>3732.5973433201339</v>
      </c>
      <c r="AE10" s="64">
        <f t="shared" si="6"/>
        <v>7585.6010525538213</v>
      </c>
      <c r="AF10" s="61"/>
      <c r="AG10" s="65"/>
      <c r="AH10" s="66"/>
      <c r="AI10" s="62"/>
      <c r="AJ10" s="63"/>
      <c r="AK10" s="64"/>
      <c r="AL10" s="62"/>
      <c r="AM10" s="63"/>
      <c r="AN10" s="64"/>
      <c r="AO10" s="62"/>
      <c r="AP10" s="63"/>
      <c r="AQ10" s="64"/>
    </row>
    <row r="11" spans="1:43" ht="14.45" x14ac:dyDescent="0.3">
      <c r="A11" s="41" t="s">
        <v>40</v>
      </c>
      <c r="B11">
        <v>2.6008</v>
      </c>
      <c r="D11" s="23" t="s">
        <v>33</v>
      </c>
      <c r="E11" s="25" t="s">
        <v>26</v>
      </c>
      <c r="F11" s="22">
        <f>10000/G11</f>
        <v>69.930069930069934</v>
      </c>
      <c r="G11" s="11">
        <v>143</v>
      </c>
      <c r="H11" s="24">
        <v>147</v>
      </c>
      <c r="I11" s="10">
        <v>276</v>
      </c>
      <c r="J11" s="25">
        <f>ROUNDUP(I11*AVERAGE(J4:J10)/AVERAGE(I4:I10),0)</f>
        <v>616</v>
      </c>
      <c r="K11" s="67">
        <f t="shared" si="8"/>
        <v>210210</v>
      </c>
      <c r="L11" s="68">
        <f t="shared" si="9"/>
        <v>39468</v>
      </c>
      <c r="M11" s="68">
        <f t="shared" si="10"/>
        <v>88088</v>
      </c>
      <c r="N11" s="7">
        <f t="shared" ref="N11" si="17">K11*0.001</f>
        <v>210.21</v>
      </c>
      <c r="O11" s="8">
        <f t="shared" ref="O11" si="18">L11*0.001</f>
        <v>39.468000000000004</v>
      </c>
      <c r="P11" s="9">
        <f t="shared" ref="P11" si="19">M11*0.001</f>
        <v>88.088000000000008</v>
      </c>
      <c r="Q11" s="7">
        <f t="shared" si="2"/>
        <v>2102100</v>
      </c>
      <c r="R11" s="8">
        <f t="shared" si="2"/>
        <v>394680</v>
      </c>
      <c r="S11" s="9">
        <f t="shared" si="2"/>
        <v>880880</v>
      </c>
      <c r="T11" s="61">
        <f t="shared" si="14"/>
        <v>17503.345801380368</v>
      </c>
      <c r="U11" s="65">
        <f t="shared" si="15"/>
        <v>3286.3424769938651</v>
      </c>
      <c r="V11" s="66">
        <f t="shared" si="16"/>
        <v>7334.7353834355827</v>
      </c>
      <c r="W11" s="62">
        <f t="shared" si="4"/>
        <v>35006.691602760737</v>
      </c>
      <c r="X11" s="63">
        <f t="shared" si="4"/>
        <v>6572.6849539877303</v>
      </c>
      <c r="Y11" s="64">
        <f t="shared" si="4"/>
        <v>14669.470766871167</v>
      </c>
      <c r="Z11" s="62">
        <f t="shared" si="5"/>
        <v>10943.056788331403</v>
      </c>
      <c r="AA11" s="63">
        <f t="shared" si="5"/>
        <v>2054.6147439316105</v>
      </c>
      <c r="AB11" s="64">
        <f t="shared" si="5"/>
        <v>4585.6618922531607</v>
      </c>
      <c r="AC11" s="62">
        <f t="shared" si="6"/>
        <v>45522.701760230062</v>
      </c>
      <c r="AD11" s="63">
        <f t="shared" si="6"/>
        <v>8547.1195141656444</v>
      </c>
      <c r="AE11" s="64">
        <f t="shared" si="6"/>
        <v>19076.179785239263</v>
      </c>
      <c r="AF11" s="61"/>
      <c r="AG11" s="65"/>
      <c r="AH11" s="66"/>
      <c r="AI11" s="62"/>
      <c r="AJ11" s="63"/>
      <c r="AK11" s="64"/>
      <c r="AL11" s="62"/>
      <c r="AM11" s="63"/>
      <c r="AN11" s="64"/>
      <c r="AO11" s="62"/>
      <c r="AP11" s="63"/>
      <c r="AQ11" s="64"/>
    </row>
    <row r="12" spans="1:43" ht="14.45" x14ac:dyDescent="0.3">
      <c r="A12" s="26" t="s">
        <v>42</v>
      </c>
      <c r="B12">
        <v>0.62</v>
      </c>
      <c r="D12" s="4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2"/>
      <c r="X12" s="2"/>
      <c r="Y12" s="2"/>
      <c r="Z12" s="2"/>
      <c r="AA12" s="2"/>
      <c r="AB12" s="2"/>
      <c r="AF12" s="13"/>
      <c r="AG12" s="13"/>
      <c r="AH12" s="13"/>
    </row>
    <row r="13" spans="1:43" ht="14.45" x14ac:dyDescent="0.3">
      <c r="A13" s="2"/>
      <c r="D13" s="4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F13" s="2"/>
      <c r="AG13" s="2"/>
      <c r="AH13" s="2"/>
    </row>
    <row r="14" spans="1:43" ht="14.45" x14ac:dyDescent="0.3">
      <c r="A14" s="41" t="s">
        <v>96</v>
      </c>
      <c r="B14">
        <v>3600000</v>
      </c>
      <c r="C14" s="59" t="s">
        <v>52</v>
      </c>
      <c r="D14" s="58" t="s">
        <v>57</v>
      </c>
      <c r="E14" s="2"/>
      <c r="F14" s="2"/>
      <c r="G14" s="2"/>
      <c r="H14" s="2"/>
      <c r="I14" s="2"/>
      <c r="J14" s="2"/>
      <c r="K14" s="2"/>
      <c r="L14" s="2"/>
      <c r="M14" s="2"/>
      <c r="N14" s="2" t="s">
        <v>74</v>
      </c>
      <c r="O14" s="2" t="s">
        <v>111</v>
      </c>
      <c r="P14" s="2"/>
      <c r="Q14" s="2" t="s">
        <v>74</v>
      </c>
      <c r="R14" s="41" t="s">
        <v>111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F14" s="2"/>
      <c r="AG14" s="2"/>
      <c r="AH14" s="2"/>
    </row>
    <row r="15" spans="1:43" ht="14.45" x14ac:dyDescent="0.3">
      <c r="A15" s="41" t="s">
        <v>94</v>
      </c>
      <c r="B15">
        <v>0.4</v>
      </c>
      <c r="D15" s="56">
        <v>5</v>
      </c>
      <c r="E15" s="2"/>
      <c r="F15" s="2"/>
      <c r="G15" s="2"/>
      <c r="H15" s="2"/>
      <c r="I15" s="2"/>
      <c r="J15" s="2"/>
      <c r="K15" s="2"/>
      <c r="L15" s="2"/>
      <c r="M15" s="2"/>
      <c r="N15" s="2">
        <f>VLOOKUP(Deliveryrate,DelRateList,1,FALSE)</f>
        <v>0.6</v>
      </c>
      <c r="O15" s="2">
        <f>VLOOKUP(e_DeliveryRate,DelRateList,1,FALSE)</f>
        <v>0.1</v>
      </c>
      <c r="P15" s="2"/>
      <c r="Q15" s="2">
        <f t="shared" ref="Q15:R17" si="20">N15*cusecs_to_litres_per_day</f>
        <v>51840000</v>
      </c>
      <c r="R15" s="2">
        <f t="shared" si="20"/>
        <v>8640000</v>
      </c>
      <c r="S15" s="2"/>
      <c r="T15" s="5">
        <f>365.25*$Q15*$D15*9.81/(Diesel_fuel_energy__J_l*Diesel_Pump_Efficiency)</f>
        <v>86330.188510875625</v>
      </c>
      <c r="U15" s="5"/>
      <c r="V15" s="5"/>
      <c r="W15" s="5">
        <f>T15*Diesel_Cost__Sen_l/100</f>
        <v>172660.37702175125</v>
      </c>
      <c r="X15" s="5"/>
      <c r="Y15" s="5"/>
      <c r="Z15" s="5">
        <f>W15*Ringit</f>
        <v>53973.461196622418</v>
      </c>
      <c r="AA15" s="5"/>
      <c r="AB15" s="5"/>
      <c r="AC15" s="18">
        <f>T15*Diesel_Co2_per_litre__kg_l</f>
        <v>224527.55427908534</v>
      </c>
      <c r="AF15" s="5">
        <f>365.25*$R15*$D15*9.81/(Electricity_energy_J_kWh*Electric_pump_efficeincy)</f>
        <v>107493.075</v>
      </c>
      <c r="AG15" s="5"/>
      <c r="AH15" s="5"/>
      <c r="AL15" s="18">
        <f>AF15*Electricity_cost____kWh</f>
        <v>23648.476500000001</v>
      </c>
      <c r="AM15" s="18"/>
      <c r="AN15" s="18"/>
      <c r="AO15" s="18">
        <f>AF15*Electriciyt_Co2__kg_kwh</f>
        <v>50521.745249999993</v>
      </c>
    </row>
    <row r="16" spans="1:43" ht="14.45" x14ac:dyDescent="0.3">
      <c r="A16" s="41" t="s">
        <v>95</v>
      </c>
      <c r="B16">
        <v>0.22</v>
      </c>
      <c r="D16" s="56">
        <v>25</v>
      </c>
      <c r="E16" s="2"/>
      <c r="F16" s="2"/>
      <c r="G16" s="2"/>
      <c r="H16" s="2"/>
      <c r="I16" s="2"/>
      <c r="J16" s="2"/>
      <c r="K16" s="2"/>
      <c r="L16" s="2"/>
      <c r="M16" s="2"/>
      <c r="N16" s="2">
        <f>Mine_Calculator!$B$3</f>
        <v>0.6</v>
      </c>
      <c r="O16" s="2">
        <f>VLOOKUP(e_DeliveryRate,DelRateList,1,FALSE)</f>
        <v>0.1</v>
      </c>
      <c r="P16" s="2"/>
      <c r="Q16" s="2">
        <f t="shared" si="20"/>
        <v>51840000</v>
      </c>
      <c r="R16" s="2">
        <f t="shared" si="20"/>
        <v>8640000</v>
      </c>
      <c r="S16" s="2"/>
      <c r="T16" s="5">
        <f>365.25*$Q16*$D16*9.81/(Diesel_fuel_energy__J_l*Diesel_Pump_Efficiency)</f>
        <v>431650.94255437813</v>
      </c>
      <c r="U16" s="5"/>
      <c r="V16" s="5"/>
      <c r="W16" s="5">
        <f>T16*Diesel_Cost__Sen_l/100</f>
        <v>863301.88510875625</v>
      </c>
      <c r="X16" s="5"/>
      <c r="Y16" s="5"/>
      <c r="Z16" s="5">
        <f>W16*Ringit</f>
        <v>269867.30598311214</v>
      </c>
      <c r="AA16" s="5"/>
      <c r="AB16" s="5"/>
      <c r="AC16" s="18">
        <f>T16*Diesel_Co2_per_litre__kg_l</f>
        <v>1122637.7713954267</v>
      </c>
      <c r="AF16" s="5">
        <f>365.25*$R16*$D16*9.81/(Electricity_energy_J_kWh*Electric_pump_efficeincy)</f>
        <v>537465.375</v>
      </c>
      <c r="AG16" s="5"/>
      <c r="AH16" s="5"/>
      <c r="AL16" s="18">
        <f>AF16*Electricity_cost____kWh</f>
        <v>118242.38250000001</v>
      </c>
      <c r="AM16" s="18"/>
      <c r="AN16" s="18"/>
      <c r="AO16" s="18">
        <f>AF16*Electriciyt_Co2__kg_kwh</f>
        <v>252608.72624999998</v>
      </c>
    </row>
    <row r="17" spans="1:43" ht="14.45" x14ac:dyDescent="0.3">
      <c r="A17" s="41" t="s">
        <v>101</v>
      </c>
      <c r="B17">
        <v>0.47</v>
      </c>
      <c r="D17" s="56">
        <v>50</v>
      </c>
      <c r="E17" s="2"/>
      <c r="F17" s="2"/>
      <c r="G17" s="2"/>
      <c r="H17" s="2"/>
      <c r="I17" s="2"/>
      <c r="J17" s="2"/>
      <c r="K17" s="2"/>
      <c r="L17" s="2"/>
      <c r="M17" s="2"/>
      <c r="N17" s="2">
        <f>Mine_Calculator!$B$3</f>
        <v>0.6</v>
      </c>
      <c r="O17" s="2">
        <f>VLOOKUP(e_DeliveryRate,DelRateList,1,FALSE)</f>
        <v>0.1</v>
      </c>
      <c r="P17" s="2"/>
      <c r="Q17" s="2">
        <f t="shared" si="20"/>
        <v>51840000</v>
      </c>
      <c r="R17" s="2">
        <f t="shared" si="20"/>
        <v>8640000</v>
      </c>
      <c r="S17" s="2"/>
      <c r="T17" s="5">
        <f>365.25*$Q17*$D17*9.81/(Diesel_fuel_energy__J_l*Diesel_Pump_Efficiency)</f>
        <v>863301.88510875625</v>
      </c>
      <c r="U17" s="5"/>
      <c r="V17" s="5"/>
      <c r="W17" s="5">
        <f>T17*Diesel_Cost__Sen_l/100</f>
        <v>1726603.7702175125</v>
      </c>
      <c r="X17" s="5"/>
      <c r="Y17" s="5"/>
      <c r="Z17" s="5">
        <f>W17*Ringit</f>
        <v>539734.61196622427</v>
      </c>
      <c r="AA17" s="5"/>
      <c r="AB17" s="5"/>
      <c r="AC17" s="18">
        <f>T17*Diesel_Co2_per_litre__kg_l</f>
        <v>2245275.5427908534</v>
      </c>
      <c r="AF17" s="5">
        <f>365.25*$R17*$D17*9.81/(Electricity_energy_J_kWh*Electric_pump_efficeincy)</f>
        <v>1074930.75</v>
      </c>
      <c r="AG17" s="5"/>
      <c r="AH17" s="5"/>
      <c r="AL17" s="18">
        <f>AF17*Electricity_cost____kWh</f>
        <v>236484.76500000001</v>
      </c>
      <c r="AM17" s="18"/>
      <c r="AN17" s="18"/>
      <c r="AO17" s="18">
        <f>AF17*Electriciyt_Co2__kg_kwh</f>
        <v>505217.45249999996</v>
      </c>
    </row>
    <row r="18" spans="1:43" ht="14.45" x14ac:dyDescent="0.3">
      <c r="A18" s="2"/>
      <c r="D18" s="4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43" ht="14.45" x14ac:dyDescent="0.3">
      <c r="C19" s="57" t="s">
        <v>58</v>
      </c>
      <c r="D19" s="56">
        <v>1</v>
      </c>
      <c r="E19" s="2">
        <f>D19+1</f>
        <v>2</v>
      </c>
      <c r="F19" s="2">
        <f t="shared" ref="F19:AQ19" si="21">E19+1</f>
        <v>3</v>
      </c>
      <c r="G19" s="2">
        <f t="shared" si="21"/>
        <v>4</v>
      </c>
      <c r="H19" s="2">
        <f t="shared" si="21"/>
        <v>5</v>
      </c>
      <c r="I19" s="2">
        <f t="shared" si="21"/>
        <v>6</v>
      </c>
      <c r="J19" s="2">
        <f t="shared" si="21"/>
        <v>7</v>
      </c>
      <c r="K19" s="2">
        <f t="shared" si="21"/>
        <v>8</v>
      </c>
      <c r="L19" s="2">
        <f t="shared" si="21"/>
        <v>9</v>
      </c>
      <c r="M19" s="2">
        <f t="shared" si="21"/>
        <v>10</v>
      </c>
      <c r="N19" s="2">
        <f t="shared" si="21"/>
        <v>11</v>
      </c>
      <c r="O19" s="2">
        <f t="shared" si="21"/>
        <v>12</v>
      </c>
      <c r="P19" s="2">
        <f t="shared" si="21"/>
        <v>13</v>
      </c>
      <c r="Q19" s="2">
        <f t="shared" si="21"/>
        <v>14</v>
      </c>
      <c r="R19" s="2">
        <f t="shared" si="21"/>
        <v>15</v>
      </c>
      <c r="S19" s="2">
        <f t="shared" si="21"/>
        <v>16</v>
      </c>
      <c r="T19" s="2">
        <f t="shared" si="21"/>
        <v>17</v>
      </c>
      <c r="U19" s="2">
        <f t="shared" si="21"/>
        <v>18</v>
      </c>
      <c r="V19" s="2">
        <f t="shared" si="21"/>
        <v>19</v>
      </c>
      <c r="W19" s="2">
        <f t="shared" si="21"/>
        <v>20</v>
      </c>
      <c r="X19" s="2">
        <f t="shared" si="21"/>
        <v>21</v>
      </c>
      <c r="Y19" s="2">
        <f t="shared" si="21"/>
        <v>22</v>
      </c>
      <c r="Z19" s="2">
        <f t="shared" si="21"/>
        <v>23</v>
      </c>
      <c r="AA19" s="2">
        <f t="shared" si="21"/>
        <v>24</v>
      </c>
      <c r="AB19" s="2">
        <f t="shared" si="21"/>
        <v>25</v>
      </c>
      <c r="AC19" s="2">
        <f t="shared" si="21"/>
        <v>26</v>
      </c>
      <c r="AD19" s="2">
        <f t="shared" si="21"/>
        <v>27</v>
      </c>
      <c r="AE19" s="2">
        <f t="shared" si="21"/>
        <v>28</v>
      </c>
      <c r="AF19" s="2">
        <f t="shared" si="21"/>
        <v>29</v>
      </c>
      <c r="AG19" s="2">
        <f t="shared" si="21"/>
        <v>30</v>
      </c>
      <c r="AH19" s="2">
        <f t="shared" si="21"/>
        <v>31</v>
      </c>
      <c r="AI19" s="2">
        <f t="shared" si="21"/>
        <v>32</v>
      </c>
      <c r="AJ19" s="2">
        <f t="shared" si="21"/>
        <v>33</v>
      </c>
      <c r="AK19" s="2">
        <f t="shared" si="21"/>
        <v>34</v>
      </c>
      <c r="AL19" s="2">
        <f t="shared" si="21"/>
        <v>35</v>
      </c>
      <c r="AM19" s="2">
        <f t="shared" si="21"/>
        <v>36</v>
      </c>
      <c r="AN19" s="2">
        <f t="shared" si="21"/>
        <v>37</v>
      </c>
      <c r="AO19" s="2">
        <f t="shared" si="21"/>
        <v>38</v>
      </c>
      <c r="AP19" s="2">
        <f t="shared" si="21"/>
        <v>39</v>
      </c>
      <c r="AQ19" s="2">
        <f t="shared" si="21"/>
        <v>40</v>
      </c>
    </row>
    <row r="22" spans="1:43" ht="14.45" x14ac:dyDescent="0.3">
      <c r="A22" s="59" t="s">
        <v>53</v>
      </c>
      <c r="B22" s="57" t="s">
        <v>55</v>
      </c>
    </row>
    <row r="23" spans="1:43" ht="14.45" x14ac:dyDescent="0.3">
      <c r="B23">
        <v>0.1</v>
      </c>
    </row>
    <row r="24" spans="1:43" ht="14.45" x14ac:dyDescent="0.3">
      <c r="B24">
        <v>0.2</v>
      </c>
    </row>
    <row r="25" spans="1:43" ht="14.45" x14ac:dyDescent="0.3">
      <c r="B25">
        <v>0.4</v>
      </c>
    </row>
    <row r="26" spans="1:43" ht="14.45" x14ac:dyDescent="0.3">
      <c r="B26">
        <v>0.6</v>
      </c>
    </row>
    <row r="27" spans="1:43" ht="14.45" x14ac:dyDescent="0.3">
      <c r="B27">
        <v>0.8</v>
      </c>
    </row>
    <row r="28" spans="1:43" ht="14.45" x14ac:dyDescent="0.3">
      <c r="B28">
        <v>1</v>
      </c>
    </row>
    <row r="29" spans="1:43" x14ac:dyDescent="0.25">
      <c r="B29">
        <v>1.2</v>
      </c>
    </row>
    <row r="30" spans="1:43" x14ac:dyDescent="0.25">
      <c r="A30" s="59" t="s">
        <v>54</v>
      </c>
      <c r="B30" s="57" t="s">
        <v>56</v>
      </c>
    </row>
    <row r="31" spans="1:43" x14ac:dyDescent="0.25">
      <c r="B31">
        <v>1</v>
      </c>
    </row>
    <row r="32" spans="1:43" x14ac:dyDescent="0.25">
      <c r="B32">
        <v>2</v>
      </c>
    </row>
    <row r="33" spans="1:16" x14ac:dyDescent="0.25">
      <c r="B33">
        <v>10</v>
      </c>
    </row>
    <row r="34" spans="1:16" x14ac:dyDescent="0.25">
      <c r="B34">
        <v>50</v>
      </c>
    </row>
    <row r="35" spans="1:16" x14ac:dyDescent="0.25">
      <c r="B35">
        <v>100</v>
      </c>
    </row>
    <row r="37" spans="1:16" x14ac:dyDescent="0.25">
      <c r="A37" s="59" t="s">
        <v>60</v>
      </c>
      <c r="B37">
        <v>86400000</v>
      </c>
    </row>
    <row r="38" spans="1:16" x14ac:dyDescent="0.25">
      <c r="A38" t="s">
        <v>75</v>
      </c>
      <c r="B38" s="18">
        <f>cusecs_to_litres_per_day*365.25</f>
        <v>31557600000</v>
      </c>
    </row>
    <row r="39" spans="1:16" x14ac:dyDescent="0.25">
      <c r="B39" s="57" t="s">
        <v>62</v>
      </c>
    </row>
    <row r="40" spans="1:16" x14ac:dyDescent="0.25">
      <c r="B40" s="57" t="s">
        <v>61</v>
      </c>
    </row>
    <row r="41" spans="1:16" x14ac:dyDescent="0.25">
      <c r="B41" s="57" t="s">
        <v>63</v>
      </c>
    </row>
    <row r="42" spans="1:16" x14ac:dyDescent="0.25">
      <c r="B42" s="57" t="s">
        <v>64</v>
      </c>
    </row>
    <row r="44" spans="1:16" ht="23.25" x14ac:dyDescent="0.35">
      <c r="A44" s="83" t="s">
        <v>70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x14ac:dyDescent="0.25">
      <c r="A45" s="76"/>
      <c r="B45" s="76" t="s">
        <v>66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x14ac:dyDescent="0.25">
      <c r="A46" s="76"/>
      <c r="B46" s="76" t="s">
        <v>67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1:16" x14ac:dyDescent="0.25">
      <c r="A47" s="76"/>
      <c r="B47" s="76" t="s">
        <v>68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x14ac:dyDescent="0.25">
      <c r="A48" s="76"/>
      <c r="B48" s="76" t="s">
        <v>69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x14ac:dyDescent="0.25">
      <c r="A49" s="76"/>
      <c r="B49" s="76" t="s">
        <v>76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 x14ac:dyDescent="0.25">
      <c r="A50" s="76"/>
      <c r="B50" s="76" t="s">
        <v>81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1:16" x14ac:dyDescent="0.25">
      <c r="A51" s="76"/>
      <c r="B51" s="76"/>
      <c r="C51" s="76" t="s">
        <v>87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1:16" x14ac:dyDescent="0.25">
      <c r="A52" s="77"/>
      <c r="B52" s="78"/>
      <c r="C52" s="78" t="s">
        <v>88</v>
      </c>
      <c r="D52" s="78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1:16" x14ac:dyDescent="0.25">
      <c r="A53" s="76"/>
      <c r="B53" s="76"/>
      <c r="C53" s="76" t="s">
        <v>89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1:16" x14ac:dyDescent="0.25">
      <c r="A54" s="76"/>
      <c r="B54" s="76"/>
      <c r="C54" s="76" t="s">
        <v>73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1:16" x14ac:dyDescent="0.25">
      <c r="A55" s="76"/>
      <c r="B55" s="76"/>
      <c r="C55" s="76"/>
      <c r="D55" s="76" t="s">
        <v>82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1:16" x14ac:dyDescent="0.25">
      <c r="A56" s="76"/>
      <c r="B56" s="76"/>
      <c r="C56" s="76"/>
      <c r="D56" s="76" t="s">
        <v>83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1:16" x14ac:dyDescent="0.25">
      <c r="A57" s="76"/>
      <c r="B57" s="76"/>
      <c r="C57" s="76"/>
      <c r="D57" s="76" t="s">
        <v>80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6" x14ac:dyDescent="0.25">
      <c r="A58" s="76"/>
      <c r="B58" s="76"/>
      <c r="C58" s="76"/>
      <c r="D58" s="76" t="s">
        <v>72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x14ac:dyDescent="0.25">
      <c r="A59" s="76"/>
      <c r="B59" s="76"/>
      <c r="C59" s="76"/>
      <c r="D59" s="76" t="s">
        <v>77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1:16" x14ac:dyDescent="0.25">
      <c r="A60" s="76"/>
      <c r="B60" s="76"/>
      <c r="C60" s="76"/>
      <c r="D60" s="76" t="s">
        <v>78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x14ac:dyDescent="0.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1:16" x14ac:dyDescent="0.25">
      <c r="A62" s="76"/>
      <c r="B62" s="76"/>
      <c r="C62" s="76"/>
      <c r="D62" s="75" t="s">
        <v>84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4" spans="1:16" ht="23.25" x14ac:dyDescent="0.35">
      <c r="A64" s="82" t="s">
        <v>71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x14ac:dyDescent="0.25">
      <c r="A66" s="76"/>
      <c r="B66" s="76" t="s">
        <v>66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16" x14ac:dyDescent="0.25">
      <c r="A67" s="76"/>
      <c r="B67" s="76" t="s">
        <v>67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16" x14ac:dyDescent="0.25">
      <c r="A68" s="76"/>
      <c r="B68" s="76" t="s">
        <v>68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16" x14ac:dyDescent="0.25">
      <c r="A69" s="76"/>
      <c r="B69" s="76" t="s">
        <v>69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1:16" x14ac:dyDescent="0.25">
      <c r="A70" s="76"/>
      <c r="B70" s="79" t="s">
        <v>79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1:16" x14ac:dyDescent="0.25">
      <c r="A71" s="76"/>
      <c r="B71" s="76" t="s">
        <v>86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ht="17.25" x14ac:dyDescent="0.25">
      <c r="A72" s="76"/>
      <c r="B72" s="76" t="s">
        <v>85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1:16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1:16" x14ac:dyDescent="0.25">
      <c r="A74" s="76"/>
      <c r="B74" s="76" t="s">
        <v>108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1:16" x14ac:dyDescent="0.25">
      <c r="A75" s="76"/>
      <c r="B75" s="76" t="s">
        <v>77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1:16" x14ac:dyDescent="0.25">
      <c r="A76" s="76"/>
      <c r="B76" s="76" t="s">
        <v>78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1:16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1:16" x14ac:dyDescent="0.25">
      <c r="A78" s="76"/>
      <c r="B78" s="75" t="s">
        <v>84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80" spans="1:16" ht="21" x14ac:dyDescent="0.35">
      <c r="A80" s="81" t="s">
        <v>93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1:16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1:16" x14ac:dyDescent="0.25">
      <c r="A82" s="76"/>
      <c r="B82" s="78" t="s">
        <v>107</v>
      </c>
      <c r="C82" s="80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1:16" x14ac:dyDescent="0.25">
      <c r="A83" s="76"/>
      <c r="B83" s="78" t="s">
        <v>104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1:16" x14ac:dyDescent="0.25">
      <c r="A84" s="76"/>
      <c r="B84" s="78" t="s">
        <v>105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1:16" x14ac:dyDescent="0.25">
      <c r="A85" s="76"/>
      <c r="B85" s="78" t="s">
        <v>106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1:16" x14ac:dyDescent="0.25">
      <c r="A86" s="76"/>
      <c r="B86" s="79" t="s">
        <v>79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1:16" x14ac:dyDescent="0.25">
      <c r="A87" s="76"/>
      <c r="B87" s="76" t="s">
        <v>86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1:16" ht="17.25" x14ac:dyDescent="0.25">
      <c r="A88" s="76"/>
      <c r="B88" s="76" t="s">
        <v>85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1:16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1:16" x14ac:dyDescent="0.25">
      <c r="A90" s="76"/>
      <c r="B90" s="76" t="s">
        <v>109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1:16" x14ac:dyDescent="0.25">
      <c r="A91" s="76"/>
      <c r="B91" s="76" t="s">
        <v>102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1:16" x14ac:dyDescent="0.25">
      <c r="A92" s="76"/>
      <c r="B92" s="76" t="s">
        <v>103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1:16" x14ac:dyDescent="0.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1:16" x14ac:dyDescent="0.25">
      <c r="A94" s="76"/>
      <c r="B94" s="75" t="s">
        <v>110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</sheetData>
  <sheetProtection selectLockedCells="1"/>
  <mergeCells count="13">
    <mergeCell ref="D2:G2"/>
    <mergeCell ref="Q2:S2"/>
    <mergeCell ref="W2:Y2"/>
    <mergeCell ref="Z2:AB2"/>
    <mergeCell ref="H2:J2"/>
    <mergeCell ref="K2:M2"/>
    <mergeCell ref="N2:P2"/>
    <mergeCell ref="T2:V2"/>
    <mergeCell ref="AF2:AH2"/>
    <mergeCell ref="AI2:AK2"/>
    <mergeCell ref="AL2:AN2"/>
    <mergeCell ref="AO2:AQ2"/>
    <mergeCell ref="AC2:AE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Utility_Calculator</vt:lpstr>
      <vt:lpstr>Mine_Calculator</vt:lpstr>
      <vt:lpstr>Crop_Calculator</vt:lpstr>
      <vt:lpstr>Calculation</vt:lpstr>
      <vt:lpstr>arealist</vt:lpstr>
      <vt:lpstr>croplist</vt:lpstr>
      <vt:lpstr>croplistarea</vt:lpstr>
      <vt:lpstr>cusecs_to_litres_per_day</vt:lpstr>
      <vt:lpstr>d_offset_co2_i</vt:lpstr>
      <vt:lpstr>d_offset_dol_i</vt:lpstr>
      <vt:lpstr>d_offset_litres_y_i</vt:lpstr>
      <vt:lpstr>d_offset_myr_i</vt:lpstr>
      <vt:lpstr>Delivery_head__m</vt:lpstr>
      <vt:lpstr>Deliveryrate</vt:lpstr>
      <vt:lpstr>DelRateList</vt:lpstr>
      <vt:lpstr>Diesel_Co2_per_litre__kg_l</vt:lpstr>
      <vt:lpstr>Diesel_Cost____l</vt:lpstr>
      <vt:lpstr>Diesel_Cost__Sen_l</vt:lpstr>
      <vt:lpstr>Diesel_fuel_energy__J_l</vt:lpstr>
      <vt:lpstr>Diesel_Pump_Efficiency</vt:lpstr>
      <vt:lpstr>e_Delivery_head__m</vt:lpstr>
      <vt:lpstr>e_DeliveryRate</vt:lpstr>
      <vt:lpstr>e_offset_co2_i</vt:lpstr>
      <vt:lpstr>e_offset_dol_i</vt:lpstr>
      <vt:lpstr>e_offset_kwh_y_i</vt:lpstr>
      <vt:lpstr>Electric_pump_efficeincy</vt:lpstr>
      <vt:lpstr>Electricity_cost____kWh</vt:lpstr>
      <vt:lpstr>Electricity_energy_J_kWh</vt:lpstr>
      <vt:lpstr>Electriciyt_Co2__kg_kwh</vt:lpstr>
      <vt:lpstr>headlist</vt:lpstr>
      <vt:lpstr>headlistare</vt:lpstr>
      <vt:lpstr>offset_co2_m</vt:lpstr>
      <vt:lpstr>offset_co2_v</vt:lpstr>
      <vt:lpstr>offset_dol_m</vt:lpstr>
      <vt:lpstr>offset_dol_v</vt:lpstr>
      <vt:lpstr>offset_myr_m</vt:lpstr>
      <vt:lpstr>offset_myr_v</vt:lpstr>
      <vt:lpstr>plantAreaList</vt:lpstr>
      <vt:lpstr>Pump_head_m</vt:lpstr>
      <vt:lpstr>pumpheadlist</vt:lpstr>
      <vt:lpstr>Ringit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graham</cp:lastModifiedBy>
  <cp:lastPrinted>2014-08-19T15:29:43Z</cp:lastPrinted>
  <dcterms:created xsi:type="dcterms:W3CDTF">2014-08-05T16:07:00Z</dcterms:created>
  <dcterms:modified xsi:type="dcterms:W3CDTF">2018-04-11T10:51:58Z</dcterms:modified>
</cp:coreProperties>
</file>